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mil\OneDrive\Desktop\"/>
    </mc:Choice>
  </mc:AlternateContent>
  <bookViews>
    <workbookView xWindow="0" yWindow="0" windowWidth="23040" windowHeight="8496" firstSheet="4" activeTab="7"/>
  </bookViews>
  <sheets>
    <sheet name="Seguridad Humana" sheetId="1" r:id="rId1"/>
    <sheet name="Vida Digna" sheetId="2" r:id="rId2"/>
    <sheet name="Desarrollo Economico" sheetId="3" r:id="rId3"/>
    <sheet name="Ciudad Conectada" sheetId="4" r:id="rId4"/>
    <sheet name="Innovación Pública" sheetId="5" r:id="rId5"/>
    <sheet name="Capitulo Etnico" sheetId="6" r:id="rId6"/>
    <sheet name="PLAN DE DESARROLLO 2024 - 2027" sheetId="8" r:id="rId7"/>
    <sheet name="SEGUIMIENTO DEL PLAN DE DESARRO" sheetId="7" r:id="rId8"/>
  </sheets>
  <definedNames>
    <definedName name="_xlnm._FilterDatabase" localSheetId="5" hidden="1">'Capitulo Etnico'!$A$2:$AC$53</definedName>
    <definedName name="_xlnm._FilterDatabase" localSheetId="3" hidden="1">'Ciudad Conectada'!$B$2:$AA$171</definedName>
    <definedName name="_xlnm._FilterDatabase" localSheetId="2" hidden="1">'Desarrollo Economico'!$A$2:$AC$132</definedName>
    <definedName name="_xlnm._FilterDatabase" localSheetId="4" hidden="1">'Innovación Pública'!$A$2:$AD$141</definedName>
    <definedName name="_xlnm._FilterDatabase" localSheetId="6" hidden="1">'PLAN DE DESARROLLO 2024 - 2027'!$B$2:$T$206</definedName>
    <definedName name="_xlnm._FilterDatabase" localSheetId="0" hidden="1">'Seguridad Humana'!$A$2:$AM$211</definedName>
    <definedName name="_xlnm._FilterDatabase" localSheetId="1" hidden="1">'Vida Digna'!$A$2:$AM$205</definedName>
  </definedNames>
  <calcPr calcId="162913"/>
</workbook>
</file>

<file path=xl/calcChain.xml><?xml version="1.0" encoding="utf-8"?>
<calcChain xmlns="http://schemas.openxmlformats.org/spreadsheetml/2006/main">
  <c r="U119" i="1" l="1"/>
  <c r="U140" i="5" l="1"/>
  <c r="Y79" i="1" l="1"/>
  <c r="R134" i="4" l="1"/>
  <c r="S134" i="4" s="1"/>
  <c r="Y134" i="4" s="1"/>
  <c r="P143" i="4" l="1"/>
  <c r="F133" i="2" l="1"/>
  <c r="R37" i="5" l="1"/>
  <c r="R107" i="1" l="1"/>
  <c r="R51" i="2" l="1"/>
  <c r="R50" i="2"/>
  <c r="R18" i="2" l="1"/>
  <c r="U17" i="2"/>
  <c r="Z63" i="3" l="1"/>
  <c r="Z61" i="3"/>
  <c r="U134" i="1"/>
  <c r="U133" i="1"/>
  <c r="X132" i="1"/>
  <c r="Y132" i="1" s="1"/>
  <c r="U132" i="1"/>
  <c r="J211" i="1" l="1"/>
  <c r="J210" i="1"/>
  <c r="J208" i="1"/>
  <c r="J29" i="5"/>
  <c r="J107" i="2"/>
  <c r="J7" i="5"/>
  <c r="T37" i="5"/>
  <c r="T28" i="5"/>
  <c r="T209" i="1"/>
  <c r="J209" i="1" l="1"/>
  <c r="J12" i="4" l="1"/>
  <c r="H117" i="4" l="1"/>
  <c r="H112" i="4"/>
  <c r="R138" i="1" l="1"/>
  <c r="U138" i="1" s="1"/>
  <c r="W138" i="1" s="1"/>
  <c r="J138" i="1"/>
  <c r="S138" i="1" l="1"/>
  <c r="Y138" i="1" s="1"/>
  <c r="AA138" i="1" s="1"/>
  <c r="J121" i="2"/>
  <c r="R17" i="1" l="1"/>
  <c r="U17" i="1" s="1"/>
  <c r="R15" i="1"/>
  <c r="R6" i="1"/>
  <c r="S17" i="1" l="1"/>
  <c r="AA9" i="6" l="1"/>
  <c r="AA10" i="6"/>
  <c r="AA12" i="6"/>
  <c r="AA29" i="5"/>
  <c r="AA80" i="1" l="1"/>
  <c r="AA81" i="1"/>
  <c r="AA64" i="1"/>
  <c r="AA65" i="1"/>
  <c r="AA63" i="1"/>
  <c r="AA49" i="1"/>
  <c r="AA32" i="6" l="1"/>
  <c r="R104" i="4" l="1"/>
  <c r="R101" i="4"/>
  <c r="S101" i="4" s="1"/>
  <c r="F146" i="2" l="1"/>
  <c r="F139" i="2"/>
  <c r="F137" i="2"/>
  <c r="F134" i="2"/>
  <c r="O13" i="6" l="1"/>
  <c r="O61" i="1"/>
  <c r="AA19" i="4" l="1"/>
  <c r="Z20" i="4"/>
  <c r="J20" i="4"/>
  <c r="R100" i="2" l="1"/>
  <c r="S100" i="2" s="1"/>
  <c r="Y100" i="2" s="1"/>
  <c r="U18" i="2" l="1"/>
  <c r="Z78" i="2" l="1"/>
  <c r="Z84" i="2"/>
  <c r="R71" i="5" l="1"/>
  <c r="O189" i="2" l="1"/>
  <c r="R189" i="2" s="1"/>
  <c r="O186" i="2" l="1"/>
  <c r="R186" i="2" s="1"/>
  <c r="O185" i="2"/>
  <c r="R185" i="2" s="1"/>
  <c r="O183" i="2"/>
  <c r="R183" i="2" s="1"/>
  <c r="O180" i="2"/>
  <c r="R180" i="2" s="1"/>
  <c r="O177" i="2"/>
  <c r="R177" i="2"/>
  <c r="O174" i="2"/>
  <c r="R174" i="2"/>
  <c r="X193" i="1" l="1"/>
  <c r="R104" i="5" l="1"/>
  <c r="Z50" i="3" l="1"/>
  <c r="R103" i="4" l="1"/>
  <c r="S103" i="4" s="1"/>
  <c r="Y103" i="4" s="1"/>
  <c r="M119" i="5" l="1"/>
  <c r="I119" i="5"/>
  <c r="L29" i="3"/>
  <c r="J30" i="3"/>
  <c r="J29" i="3"/>
  <c r="O73" i="5" l="1"/>
  <c r="R180" i="1" l="1"/>
  <c r="S180" i="1" s="1"/>
  <c r="N142" i="4"/>
  <c r="O191" i="2" l="1"/>
  <c r="O123" i="2" l="1"/>
  <c r="T3" i="8" l="1"/>
  <c r="W149" i="4" l="1"/>
  <c r="AA103" i="4" l="1"/>
  <c r="J54" i="5" l="1"/>
  <c r="X14" i="1" l="1"/>
  <c r="I187" i="8" l="1"/>
  <c r="I158" i="8"/>
  <c r="B4" i="8"/>
  <c r="R143" i="4" l="1"/>
  <c r="S143" i="4" s="1"/>
  <c r="R142" i="4"/>
  <c r="S104" i="4"/>
  <c r="S142" i="4" l="1"/>
  <c r="J56" i="4"/>
  <c r="H70" i="4" l="1"/>
  <c r="W143" i="4"/>
  <c r="W142" i="4"/>
  <c r="L142" i="4"/>
  <c r="L143" i="4"/>
  <c r="J142" i="4"/>
  <c r="J143" i="4"/>
  <c r="I125" i="4" l="1"/>
  <c r="L8" i="6" l="1"/>
  <c r="L6" i="6"/>
  <c r="L6" i="3"/>
  <c r="L149" i="1" l="1"/>
  <c r="J149" i="1"/>
  <c r="L7" i="1"/>
  <c r="X18" i="1"/>
  <c r="V17" i="1"/>
  <c r="L17" i="1"/>
  <c r="J17" i="1"/>
  <c r="J154" i="1" l="1"/>
  <c r="J45" i="1"/>
  <c r="T184" i="2" l="1"/>
  <c r="F21" i="6" l="1"/>
  <c r="X14" i="5" l="1"/>
  <c r="J93" i="2"/>
  <c r="R90" i="4"/>
  <c r="S90" i="4" s="1"/>
  <c r="Y90" i="4" s="1"/>
  <c r="R127" i="1" l="1"/>
  <c r="L127" i="1"/>
  <c r="L103" i="4" l="1"/>
  <c r="K106" i="4"/>
  <c r="AA98" i="5" l="1"/>
  <c r="H200" i="1" l="1"/>
  <c r="J171" i="4" l="1"/>
  <c r="J170" i="4"/>
  <c r="J169" i="4"/>
  <c r="J177" i="2"/>
  <c r="AA136" i="5" l="1"/>
  <c r="AA128" i="3"/>
  <c r="AA127" i="3"/>
  <c r="AA123" i="3"/>
  <c r="AA122" i="3"/>
  <c r="AA120" i="3"/>
  <c r="AA118" i="3"/>
  <c r="AA113" i="3"/>
  <c r="AA110" i="3"/>
  <c r="AA108" i="3"/>
  <c r="AA53" i="3"/>
  <c r="AA67" i="2"/>
  <c r="AA65" i="2"/>
  <c r="AA80" i="2"/>
  <c r="AA105" i="2"/>
  <c r="AA111" i="2"/>
  <c r="AA113" i="2"/>
  <c r="AA112" i="2"/>
  <c r="AA110" i="2"/>
  <c r="AA109" i="2"/>
  <c r="AA162" i="2"/>
  <c r="AA158" i="4"/>
  <c r="AA155" i="4"/>
  <c r="AA90" i="4"/>
  <c r="AA81" i="4"/>
  <c r="AA44" i="4"/>
  <c r="AA43" i="4"/>
  <c r="AA42" i="4"/>
  <c r="AA35" i="4"/>
  <c r="AA38" i="6"/>
  <c r="AA24" i="6"/>
  <c r="AA27" i="6"/>
  <c r="AA28" i="6"/>
  <c r="AA29" i="6"/>
  <c r="AA170" i="4"/>
  <c r="AA160" i="4"/>
  <c r="AA166" i="4"/>
  <c r="AA165" i="4"/>
  <c r="AA164" i="4"/>
  <c r="AA163" i="4"/>
  <c r="AA162" i="4"/>
  <c r="AA161" i="4"/>
  <c r="AA119" i="4"/>
  <c r="AA159" i="4" l="1"/>
  <c r="M158" i="8" s="1"/>
  <c r="AA19" i="3" l="1"/>
  <c r="Z50" i="2"/>
  <c r="Z51" i="2"/>
  <c r="AA42" i="2"/>
  <c r="X22" i="2"/>
  <c r="AA16" i="2"/>
  <c r="AA25" i="1"/>
  <c r="AA13" i="1"/>
  <c r="J44" i="3" l="1"/>
  <c r="W132" i="1" l="1"/>
  <c r="I34" i="1" l="1"/>
  <c r="H39" i="6"/>
  <c r="O39" i="6" s="1"/>
  <c r="Z36" i="6"/>
  <c r="Z37" i="6"/>
  <c r="R74" i="1"/>
  <c r="U74" i="1" s="1"/>
  <c r="W74" i="1" s="1"/>
  <c r="Z75" i="1"/>
  <c r="L45" i="1"/>
  <c r="Z13" i="1"/>
  <c r="H140" i="5" l="1"/>
  <c r="L166" i="2" l="1"/>
  <c r="W95" i="1" l="1"/>
  <c r="R93" i="1"/>
  <c r="S93" i="1" s="1"/>
  <c r="W93" i="1"/>
  <c r="V93" i="1"/>
  <c r="R52" i="6" l="1"/>
  <c r="S52" i="6" s="1"/>
  <c r="Y52" i="6" s="1"/>
  <c r="R51" i="6"/>
  <c r="U51" i="6" s="1"/>
  <c r="W51" i="6" s="1"/>
  <c r="R50" i="6"/>
  <c r="W50" i="6" s="1"/>
  <c r="R49" i="6"/>
  <c r="U49" i="6" s="1"/>
  <c r="W49" i="6" s="1"/>
  <c r="R48" i="6"/>
  <c r="U48" i="6" s="1"/>
  <c r="W48" i="6" s="1"/>
  <c r="R46" i="6"/>
  <c r="S46" i="6" s="1"/>
  <c r="Y46" i="6" s="1"/>
  <c r="R45" i="6"/>
  <c r="U45" i="6" s="1"/>
  <c r="W45" i="6" s="1"/>
  <c r="R44" i="6"/>
  <c r="U44" i="6" s="1"/>
  <c r="W44" i="6" s="1"/>
  <c r="R43" i="6"/>
  <c r="S43" i="6" s="1"/>
  <c r="Y43" i="6" s="1"/>
  <c r="AA43" i="6" s="1"/>
  <c r="R42" i="6"/>
  <c r="Y42" i="6" s="1"/>
  <c r="R41" i="6"/>
  <c r="S41" i="6" s="1"/>
  <c r="Y41" i="6" s="1"/>
  <c r="R39" i="6"/>
  <c r="S39" i="6" s="1"/>
  <c r="Y39" i="6" s="1"/>
  <c r="R38" i="6"/>
  <c r="S38" i="6" s="1"/>
  <c r="R37" i="6"/>
  <c r="U37" i="6" s="1"/>
  <c r="W37" i="6" s="1"/>
  <c r="R36" i="6"/>
  <c r="S36" i="6" s="1"/>
  <c r="Y36" i="6" s="1"/>
  <c r="R35" i="6"/>
  <c r="S35" i="6" s="1"/>
  <c r="Y35" i="6" s="1"/>
  <c r="R34" i="6"/>
  <c r="S34" i="6" s="1"/>
  <c r="Y34" i="6" s="1"/>
  <c r="R33" i="6"/>
  <c r="S33" i="6" s="1"/>
  <c r="Y33" i="6" s="1"/>
  <c r="R32" i="6"/>
  <c r="W42" i="6"/>
  <c r="L52" i="6"/>
  <c r="L51" i="6"/>
  <c r="L50" i="6"/>
  <c r="L49" i="6"/>
  <c r="L48" i="6"/>
  <c r="L46" i="6"/>
  <c r="L45" i="6"/>
  <c r="L44" i="6"/>
  <c r="L43" i="6"/>
  <c r="L42" i="6"/>
  <c r="L41" i="6"/>
  <c r="L39" i="6"/>
  <c r="L37" i="6"/>
  <c r="L36" i="6"/>
  <c r="L35" i="6"/>
  <c r="L34" i="6"/>
  <c r="L33" i="6"/>
  <c r="J52" i="6"/>
  <c r="J51" i="6"/>
  <c r="J50" i="6"/>
  <c r="J49" i="6"/>
  <c r="J48" i="6"/>
  <c r="J46" i="6"/>
  <c r="J45" i="6"/>
  <c r="J44" i="6"/>
  <c r="J43" i="6"/>
  <c r="J42" i="6"/>
  <c r="J41" i="6"/>
  <c r="J39" i="6"/>
  <c r="J37" i="6"/>
  <c r="J36" i="6"/>
  <c r="J35" i="6"/>
  <c r="J34" i="6"/>
  <c r="J33" i="6"/>
  <c r="W28" i="6"/>
  <c r="W27" i="6"/>
  <c r="W20" i="6"/>
  <c r="W19" i="6"/>
  <c r="W16" i="6"/>
  <c r="W15" i="6"/>
  <c r="R29" i="6"/>
  <c r="S29" i="6" s="1"/>
  <c r="R28" i="6"/>
  <c r="S28" i="6" s="1"/>
  <c r="R27" i="6"/>
  <c r="S27" i="6" s="1"/>
  <c r="R26" i="6"/>
  <c r="S26" i="6" s="1"/>
  <c r="R25" i="6"/>
  <c r="S25" i="6" s="1"/>
  <c r="Y25" i="6" s="1"/>
  <c r="R24" i="6"/>
  <c r="S24" i="6" s="1"/>
  <c r="R23" i="6"/>
  <c r="S23" i="6" s="1"/>
  <c r="Y23" i="6" s="1"/>
  <c r="R21" i="6"/>
  <c r="S21" i="6" s="1"/>
  <c r="Y21" i="6" s="1"/>
  <c r="R20" i="6"/>
  <c r="S20" i="6" s="1"/>
  <c r="Y20" i="6" s="1"/>
  <c r="R19" i="6"/>
  <c r="S19" i="6" s="1"/>
  <c r="Y19" i="6" s="1"/>
  <c r="R18" i="6"/>
  <c r="S18" i="6" s="1"/>
  <c r="Y18" i="6" s="1"/>
  <c r="R17" i="6"/>
  <c r="S17" i="6" s="1"/>
  <c r="Y17" i="6" s="1"/>
  <c r="R16" i="6"/>
  <c r="S16" i="6" s="1"/>
  <c r="Y16" i="6" s="1"/>
  <c r="R15" i="6"/>
  <c r="Y15" i="6" s="1"/>
  <c r="L29" i="6"/>
  <c r="L28" i="6"/>
  <c r="L27" i="6"/>
  <c r="L26" i="6"/>
  <c r="L25" i="6"/>
  <c r="L24" i="6"/>
  <c r="L23" i="6"/>
  <c r="L21" i="6"/>
  <c r="L20" i="6"/>
  <c r="L19" i="6"/>
  <c r="L18" i="6"/>
  <c r="L17" i="6"/>
  <c r="L16" i="6"/>
  <c r="L15" i="6"/>
  <c r="J29" i="6"/>
  <c r="J28" i="6"/>
  <c r="J27" i="6"/>
  <c r="J26" i="6"/>
  <c r="J25" i="6"/>
  <c r="J24" i="6"/>
  <c r="J23" i="6"/>
  <c r="J21" i="6"/>
  <c r="J20" i="6"/>
  <c r="J19" i="6"/>
  <c r="J18" i="6"/>
  <c r="J17" i="6"/>
  <c r="J16" i="6"/>
  <c r="J15" i="6"/>
  <c r="R13" i="6"/>
  <c r="S13" i="6" s="1"/>
  <c r="Y13" i="6" s="1"/>
  <c r="R12" i="6"/>
  <c r="S12" i="6" s="1"/>
  <c r="R11" i="6"/>
  <c r="S11" i="6" s="1"/>
  <c r="Y11" i="6" s="1"/>
  <c r="AA11" i="6" s="1"/>
  <c r="R10" i="6"/>
  <c r="S10" i="6" s="1"/>
  <c r="R9" i="6"/>
  <c r="S9" i="6" s="1"/>
  <c r="R8" i="6"/>
  <c r="S8" i="6" s="1"/>
  <c r="Y8" i="6" s="1"/>
  <c r="AA8" i="6" s="1"/>
  <c r="R7" i="6"/>
  <c r="S7" i="6" s="1"/>
  <c r="Y7" i="6" s="1"/>
  <c r="AA7" i="6" s="1"/>
  <c r="R6" i="6"/>
  <c r="S6" i="6" s="1"/>
  <c r="Y6" i="6" s="1"/>
  <c r="L7" i="6"/>
  <c r="L13" i="6"/>
  <c r="L12" i="6"/>
  <c r="J13" i="6"/>
  <c r="J12" i="6"/>
  <c r="J8" i="6"/>
  <c r="J7" i="6"/>
  <c r="J6" i="6"/>
  <c r="W125" i="5"/>
  <c r="R141" i="5"/>
  <c r="S141" i="5" s="1"/>
  <c r="Y141" i="5" s="1"/>
  <c r="R140" i="5"/>
  <c r="S140" i="5" s="1"/>
  <c r="Y140" i="5" s="1"/>
  <c r="R138" i="5"/>
  <c r="S138" i="5" s="1"/>
  <c r="Y138" i="5" s="1"/>
  <c r="R137" i="5"/>
  <c r="S137" i="5" s="1"/>
  <c r="Y137" i="5" s="1"/>
  <c r="R136" i="5"/>
  <c r="S136" i="5" s="1"/>
  <c r="R135" i="5"/>
  <c r="R133" i="5"/>
  <c r="S133" i="5" s="1"/>
  <c r="R132" i="5"/>
  <c r="S132" i="5" s="1"/>
  <c r="Y132" i="5" s="1"/>
  <c r="R130" i="5"/>
  <c r="S130" i="5" s="1"/>
  <c r="Y130" i="5" s="1"/>
  <c r="R129" i="5"/>
  <c r="S129" i="5" s="1"/>
  <c r="R128" i="5"/>
  <c r="S128" i="5" s="1"/>
  <c r="Y128" i="5" s="1"/>
  <c r="R127" i="5"/>
  <c r="U127" i="5" s="1"/>
  <c r="W127" i="5" s="1"/>
  <c r="R126" i="5"/>
  <c r="S126" i="5" s="1"/>
  <c r="Y126" i="5" s="1"/>
  <c r="R125" i="5"/>
  <c r="S125" i="5" s="1"/>
  <c r="Y125" i="5" s="1"/>
  <c r="R124" i="5"/>
  <c r="S124" i="5" s="1"/>
  <c r="Y124" i="5" s="1"/>
  <c r="R122" i="5"/>
  <c r="S122" i="5" s="1"/>
  <c r="Y122" i="5" s="1"/>
  <c r="R121" i="5"/>
  <c r="S121" i="5" s="1"/>
  <c r="Y121" i="5" s="1"/>
  <c r="R120" i="5"/>
  <c r="S120" i="5" s="1"/>
  <c r="Y120" i="5" s="1"/>
  <c r="R119" i="5"/>
  <c r="S119" i="5" s="1"/>
  <c r="Y119" i="5" s="1"/>
  <c r="R118" i="5"/>
  <c r="S118" i="5" s="1"/>
  <c r="Y118" i="5" s="1"/>
  <c r="R117" i="5"/>
  <c r="S117" i="5" s="1"/>
  <c r="Y117" i="5" s="1"/>
  <c r="R115" i="5"/>
  <c r="R114" i="5"/>
  <c r="S114" i="5" s="1"/>
  <c r="R113" i="5"/>
  <c r="S113" i="5" s="1"/>
  <c r="Y113" i="5" s="1"/>
  <c r="R112" i="5"/>
  <c r="S112" i="5" s="1"/>
  <c r="Y112" i="5" s="1"/>
  <c r="R111" i="5"/>
  <c r="S111" i="5" s="1"/>
  <c r="L141" i="5"/>
  <c r="L140" i="5"/>
  <c r="L138" i="5"/>
  <c r="L137" i="5"/>
  <c r="L136" i="5"/>
  <c r="L135" i="5"/>
  <c r="L133" i="5"/>
  <c r="L132" i="5"/>
  <c r="L130" i="5"/>
  <c r="L128" i="5"/>
  <c r="L127" i="5"/>
  <c r="L126" i="5"/>
  <c r="L125" i="5"/>
  <c r="L124" i="5"/>
  <c r="L122" i="5"/>
  <c r="L121" i="5"/>
  <c r="L120" i="5"/>
  <c r="L119" i="5"/>
  <c r="L118" i="5"/>
  <c r="L117" i="5"/>
  <c r="L115" i="5"/>
  <c r="L114" i="5"/>
  <c r="L113" i="5"/>
  <c r="L112" i="5"/>
  <c r="L111" i="5"/>
  <c r="J141" i="5"/>
  <c r="J140" i="5"/>
  <c r="J138" i="5"/>
  <c r="J137" i="5"/>
  <c r="J136" i="5"/>
  <c r="J135" i="5"/>
  <c r="J133" i="5"/>
  <c r="J132" i="5"/>
  <c r="J130" i="5"/>
  <c r="J128" i="5"/>
  <c r="J127" i="5"/>
  <c r="J126" i="5"/>
  <c r="J125" i="5"/>
  <c r="J124" i="5"/>
  <c r="J122" i="5"/>
  <c r="J121" i="5"/>
  <c r="J120" i="5"/>
  <c r="J119" i="5"/>
  <c r="J118" i="5"/>
  <c r="J117" i="5"/>
  <c r="J115" i="5"/>
  <c r="J114" i="5"/>
  <c r="J113" i="5"/>
  <c r="J112" i="5"/>
  <c r="J111" i="5"/>
  <c r="R108" i="5"/>
  <c r="S108" i="5" s="1"/>
  <c r="Y108" i="5" s="1"/>
  <c r="R107" i="5"/>
  <c r="S107" i="5" s="1"/>
  <c r="Y107" i="5" s="1"/>
  <c r="R106" i="5"/>
  <c r="S106" i="5" s="1"/>
  <c r="Y106" i="5" s="1"/>
  <c r="S104" i="5"/>
  <c r="Y104" i="5" s="1"/>
  <c r="R103" i="5"/>
  <c r="S103" i="5" s="1"/>
  <c r="Y103" i="5" s="1"/>
  <c r="R102" i="5"/>
  <c r="S102" i="5" s="1"/>
  <c r="Y102" i="5" s="1"/>
  <c r="R101" i="5"/>
  <c r="S101" i="5" s="1"/>
  <c r="Y101" i="5" s="1"/>
  <c r="R100" i="5"/>
  <c r="S100" i="5" s="1"/>
  <c r="Y100" i="5" s="1"/>
  <c r="R98" i="5"/>
  <c r="S98" i="5" s="1"/>
  <c r="R97" i="5"/>
  <c r="S97" i="5" s="1"/>
  <c r="Y97" i="5" s="1"/>
  <c r="R96" i="5"/>
  <c r="S96" i="5" s="1"/>
  <c r="Y96" i="5" s="1"/>
  <c r="R95" i="5"/>
  <c r="S95" i="5" s="1"/>
  <c r="Y95" i="5" s="1"/>
  <c r="R93" i="5"/>
  <c r="S93" i="5" s="1"/>
  <c r="Y93" i="5" s="1"/>
  <c r="R91" i="5"/>
  <c r="S91" i="5" s="1"/>
  <c r="Y91" i="5" s="1"/>
  <c r="R90" i="5"/>
  <c r="S90" i="5" s="1"/>
  <c r="Y90" i="5" s="1"/>
  <c r="R89" i="5"/>
  <c r="S89" i="5" s="1"/>
  <c r="R88" i="5"/>
  <c r="S88" i="5" s="1"/>
  <c r="R87" i="5"/>
  <c r="S87" i="5" s="1"/>
  <c r="Y87" i="5" s="1"/>
  <c r="R86" i="5"/>
  <c r="S86" i="5" s="1"/>
  <c r="Y86" i="5" s="1"/>
  <c r="R84" i="5"/>
  <c r="S84" i="5" s="1"/>
  <c r="Y84" i="5" s="1"/>
  <c r="R83" i="5"/>
  <c r="S83" i="5" s="1"/>
  <c r="Y83" i="5" s="1"/>
  <c r="R82" i="5"/>
  <c r="S82" i="5" s="1"/>
  <c r="Y82" i="5" s="1"/>
  <c r="R81" i="5"/>
  <c r="S81" i="5" s="1"/>
  <c r="Y81" i="5" s="1"/>
  <c r="R80" i="5"/>
  <c r="U80" i="5" s="1"/>
  <c r="W80" i="5" s="1"/>
  <c r="R79" i="5"/>
  <c r="W79" i="5" s="1"/>
  <c r="L108" i="5"/>
  <c r="L107" i="5"/>
  <c r="L106" i="5"/>
  <c r="L104" i="5"/>
  <c r="L103" i="5"/>
  <c r="L102" i="5"/>
  <c r="L101" i="5"/>
  <c r="L100" i="5"/>
  <c r="L98" i="5"/>
  <c r="L97" i="5"/>
  <c r="L96" i="5"/>
  <c r="L95" i="5"/>
  <c r="L93" i="5"/>
  <c r="L92" i="5" s="1"/>
  <c r="H187" i="8" s="1"/>
  <c r="L90" i="5"/>
  <c r="L88" i="5"/>
  <c r="L87" i="5"/>
  <c r="L86" i="5"/>
  <c r="L84" i="5"/>
  <c r="L83" i="5"/>
  <c r="L82" i="5"/>
  <c r="L81" i="5"/>
  <c r="L80" i="5"/>
  <c r="L79" i="5"/>
  <c r="J108" i="5"/>
  <c r="J107" i="5"/>
  <c r="J106" i="5"/>
  <c r="J104" i="5"/>
  <c r="J103" i="5"/>
  <c r="J102" i="5"/>
  <c r="J101" i="5"/>
  <c r="J100" i="5"/>
  <c r="J98" i="5"/>
  <c r="J97" i="5"/>
  <c r="J96" i="5"/>
  <c r="J95" i="5"/>
  <c r="J93" i="5"/>
  <c r="J92" i="5" s="1"/>
  <c r="E187" i="8" s="1"/>
  <c r="J90" i="5"/>
  <c r="J88" i="5"/>
  <c r="J87" i="5"/>
  <c r="J86" i="5"/>
  <c r="J84" i="5"/>
  <c r="J83" i="5"/>
  <c r="J82" i="5"/>
  <c r="J81" i="5"/>
  <c r="J80" i="5"/>
  <c r="J79" i="5"/>
  <c r="R76" i="5"/>
  <c r="S76" i="5" s="1"/>
  <c r="Y76" i="5" s="1"/>
  <c r="R75" i="5"/>
  <c r="S75" i="5" s="1"/>
  <c r="Y75" i="5" s="1"/>
  <c r="R73" i="5"/>
  <c r="S73" i="5" s="1"/>
  <c r="Y73" i="5" s="1"/>
  <c r="R72" i="5"/>
  <c r="S72" i="5" s="1"/>
  <c r="Y72" i="5" s="1"/>
  <c r="S71" i="5"/>
  <c r="Y71" i="5" s="1"/>
  <c r="R70" i="5"/>
  <c r="R69" i="5"/>
  <c r="S69" i="5" s="1"/>
  <c r="Y69" i="5" s="1"/>
  <c r="R67" i="5"/>
  <c r="S67" i="5" s="1"/>
  <c r="Y67" i="5" s="1"/>
  <c r="R65" i="5"/>
  <c r="S65" i="5" s="1"/>
  <c r="Y65" i="5" s="1"/>
  <c r="R64" i="5"/>
  <c r="S64" i="5" s="1"/>
  <c r="Y64" i="5" s="1"/>
  <c r="R63" i="5"/>
  <c r="S63" i="5" s="1"/>
  <c r="Y63" i="5" s="1"/>
  <c r="R62" i="5"/>
  <c r="S62" i="5" s="1"/>
  <c r="Y62" i="5" s="1"/>
  <c r="R60" i="5"/>
  <c r="S60" i="5" s="1"/>
  <c r="Y60" i="5" s="1"/>
  <c r="R59" i="5"/>
  <c r="S59" i="5" s="1"/>
  <c r="L76" i="5"/>
  <c r="L75" i="5"/>
  <c r="J76" i="5"/>
  <c r="J75" i="5"/>
  <c r="L73" i="5"/>
  <c r="L72" i="5"/>
  <c r="L71" i="5"/>
  <c r="L70" i="5"/>
  <c r="L69" i="5"/>
  <c r="J73" i="5"/>
  <c r="J72" i="5"/>
  <c r="J71" i="5"/>
  <c r="J70" i="5"/>
  <c r="J69" i="5"/>
  <c r="L67" i="5"/>
  <c r="L66" i="5" s="1"/>
  <c r="H181" i="8" s="1"/>
  <c r="J67" i="5"/>
  <c r="J66" i="5" s="1"/>
  <c r="E181" i="8" s="1"/>
  <c r="L65" i="5"/>
  <c r="L64" i="5"/>
  <c r="L63" i="5"/>
  <c r="L62" i="5"/>
  <c r="J65" i="5"/>
  <c r="J64" i="5"/>
  <c r="J63" i="5"/>
  <c r="J62" i="5"/>
  <c r="L60" i="5"/>
  <c r="L59" i="5"/>
  <c r="J60" i="5"/>
  <c r="J59" i="5"/>
  <c r="R56" i="5"/>
  <c r="S56" i="5" s="1"/>
  <c r="Y56" i="5" s="1"/>
  <c r="R54" i="5"/>
  <c r="U54" i="5" s="1"/>
  <c r="W54" i="5" s="1"/>
  <c r="R53" i="5"/>
  <c r="S53" i="5" s="1"/>
  <c r="Y53" i="5" s="1"/>
  <c r="R52" i="5"/>
  <c r="S52" i="5" s="1"/>
  <c r="Y52" i="5" s="1"/>
  <c r="R51" i="5"/>
  <c r="S51" i="5" s="1"/>
  <c r="Y51" i="5" s="1"/>
  <c r="R50" i="5"/>
  <c r="S50" i="5" s="1"/>
  <c r="Y50" i="5" s="1"/>
  <c r="L56" i="5"/>
  <c r="L55" i="5" s="1"/>
  <c r="H177" i="8" s="1"/>
  <c r="J56" i="5"/>
  <c r="J55" i="5" s="1"/>
  <c r="E177" i="8" s="1"/>
  <c r="L54" i="5"/>
  <c r="L53" i="5"/>
  <c r="L52" i="5"/>
  <c r="L51" i="5"/>
  <c r="L50" i="5"/>
  <c r="J53" i="5"/>
  <c r="J52" i="5"/>
  <c r="J51" i="5"/>
  <c r="J50" i="5"/>
  <c r="W42" i="5"/>
  <c r="R47" i="5"/>
  <c r="S47" i="5" s="1"/>
  <c r="Y47" i="5" s="1"/>
  <c r="R46" i="5"/>
  <c r="S46" i="5" s="1"/>
  <c r="Y46" i="5" s="1"/>
  <c r="R45" i="5"/>
  <c r="S45" i="5" s="1"/>
  <c r="Y45" i="5" s="1"/>
  <c r="R44" i="5"/>
  <c r="S44" i="5" s="1"/>
  <c r="Y44" i="5" s="1"/>
  <c r="R42" i="5"/>
  <c r="S42" i="5" s="1"/>
  <c r="Y42" i="5" s="1"/>
  <c r="R41" i="5"/>
  <c r="R39" i="5"/>
  <c r="S39" i="5" s="1"/>
  <c r="R38" i="5"/>
  <c r="S38" i="5" s="1"/>
  <c r="Y38" i="5" s="1"/>
  <c r="R35" i="5"/>
  <c r="S35" i="5" s="1"/>
  <c r="Y35" i="5" s="1"/>
  <c r="R34" i="5"/>
  <c r="S34" i="5" s="1"/>
  <c r="Y34" i="5" s="1"/>
  <c r="R33" i="5"/>
  <c r="S33" i="5" s="1"/>
  <c r="Y33" i="5" s="1"/>
  <c r="R31" i="5"/>
  <c r="S31" i="5" s="1"/>
  <c r="Y31" i="5" s="1"/>
  <c r="R29" i="5"/>
  <c r="R28" i="5"/>
  <c r="S28" i="5" s="1"/>
  <c r="Y28" i="5" s="1"/>
  <c r="R27" i="5"/>
  <c r="S27" i="5" s="1"/>
  <c r="Y27" i="5" s="1"/>
  <c r="R25" i="5"/>
  <c r="S25" i="5" s="1"/>
  <c r="Y25" i="5" s="1"/>
  <c r="R24" i="5"/>
  <c r="S24" i="5" s="1"/>
  <c r="Y24" i="5" s="1"/>
  <c r="R22" i="5"/>
  <c r="S22" i="5" s="1"/>
  <c r="Y22" i="5" s="1"/>
  <c r="R21" i="5"/>
  <c r="S21" i="5" s="1"/>
  <c r="Y21" i="5" s="1"/>
  <c r="R20" i="5"/>
  <c r="S20" i="5" s="1"/>
  <c r="Y20" i="5" s="1"/>
  <c r="R19" i="5"/>
  <c r="L47" i="5"/>
  <c r="L46" i="5"/>
  <c r="L45" i="5"/>
  <c r="L44" i="5"/>
  <c r="L42" i="5"/>
  <c r="L41" i="5"/>
  <c r="L39" i="5"/>
  <c r="L38" i="5"/>
  <c r="L37" i="5"/>
  <c r="L35" i="5"/>
  <c r="L34" i="5"/>
  <c r="L33" i="5"/>
  <c r="L31" i="5"/>
  <c r="L30" i="5" s="1"/>
  <c r="H170" i="8" s="1"/>
  <c r="L28" i="5"/>
  <c r="L27" i="5"/>
  <c r="L25" i="5"/>
  <c r="L24" i="5"/>
  <c r="L22" i="5"/>
  <c r="L21" i="5"/>
  <c r="L20" i="5"/>
  <c r="L19" i="5"/>
  <c r="J47" i="5"/>
  <c r="J46" i="5"/>
  <c r="J45" i="5"/>
  <c r="J44" i="5"/>
  <c r="J42" i="5"/>
  <c r="J41" i="5"/>
  <c r="J39" i="5"/>
  <c r="J38" i="5"/>
  <c r="J37" i="5"/>
  <c r="J35" i="5"/>
  <c r="J34" i="5"/>
  <c r="J33" i="5"/>
  <c r="J31" i="5"/>
  <c r="J30" i="5" s="1"/>
  <c r="E170" i="8" s="1"/>
  <c r="J28" i="5"/>
  <c r="J27" i="5"/>
  <c r="J25" i="5"/>
  <c r="J24" i="5"/>
  <c r="J22" i="5"/>
  <c r="J21" i="5"/>
  <c r="J20" i="5"/>
  <c r="J19" i="5"/>
  <c r="R16" i="5"/>
  <c r="S16" i="5" s="1"/>
  <c r="R15" i="5"/>
  <c r="S15" i="5" s="1"/>
  <c r="Y15" i="5" s="1"/>
  <c r="R14" i="5"/>
  <c r="S14" i="5" s="1"/>
  <c r="Y14" i="5" s="1"/>
  <c r="R13" i="5"/>
  <c r="S13" i="5" s="1"/>
  <c r="Y13" i="5" s="1"/>
  <c r="R11" i="5"/>
  <c r="S11" i="5" s="1"/>
  <c r="Y11" i="5" s="1"/>
  <c r="R10" i="5"/>
  <c r="S10" i="5" s="1"/>
  <c r="Y10" i="5" s="1"/>
  <c r="R6" i="5"/>
  <c r="U6" i="5" s="1"/>
  <c r="R8" i="5"/>
  <c r="S8" i="5" s="1"/>
  <c r="AA8" i="5" s="1"/>
  <c r="R7" i="5"/>
  <c r="J6" i="5"/>
  <c r="L6" i="5"/>
  <c r="L16" i="5"/>
  <c r="L15" i="5"/>
  <c r="L14" i="5"/>
  <c r="L13" i="5"/>
  <c r="J16" i="5"/>
  <c r="J15" i="5"/>
  <c r="J14" i="5"/>
  <c r="J13" i="5"/>
  <c r="L8" i="5"/>
  <c r="L11" i="5"/>
  <c r="L10" i="5"/>
  <c r="J8" i="5"/>
  <c r="J11" i="5"/>
  <c r="J10" i="5"/>
  <c r="W170" i="4"/>
  <c r="R171" i="4"/>
  <c r="S171" i="4" s="1"/>
  <c r="R170" i="4"/>
  <c r="S170" i="4" s="1"/>
  <c r="R169" i="4"/>
  <c r="L168" i="4"/>
  <c r="H160" i="8" s="1"/>
  <c r="H159" i="8" s="1"/>
  <c r="J168" i="4"/>
  <c r="E160" i="8" s="1"/>
  <c r="E159" i="8" s="1"/>
  <c r="W166" i="4"/>
  <c r="W165" i="4"/>
  <c r="W164" i="4"/>
  <c r="W161" i="4"/>
  <c r="W160" i="4"/>
  <c r="W158" i="4"/>
  <c r="W157" i="4"/>
  <c r="W155" i="4"/>
  <c r="W163" i="4"/>
  <c r="W162" i="4"/>
  <c r="W139" i="4"/>
  <c r="R166" i="4"/>
  <c r="S166" i="4" s="1"/>
  <c r="R165" i="4"/>
  <c r="S165" i="4" s="1"/>
  <c r="R164" i="4"/>
  <c r="S164" i="4" s="1"/>
  <c r="R163" i="4"/>
  <c r="S163" i="4" s="1"/>
  <c r="R162" i="4"/>
  <c r="S162" i="4" s="1"/>
  <c r="R161" i="4"/>
  <c r="S161" i="4" s="1"/>
  <c r="R160" i="4"/>
  <c r="S160" i="4" s="1"/>
  <c r="R158" i="4"/>
  <c r="S158" i="4" s="1"/>
  <c r="R157" i="4"/>
  <c r="S157" i="4" s="1"/>
  <c r="Y157" i="4" s="1"/>
  <c r="R156" i="4"/>
  <c r="U156" i="4" s="1"/>
  <c r="R155" i="4"/>
  <c r="S155" i="4" s="1"/>
  <c r="R154" i="4"/>
  <c r="S154" i="4" s="1"/>
  <c r="Y154" i="4" s="1"/>
  <c r="R153" i="4"/>
  <c r="S153" i="4" s="1"/>
  <c r="Y153" i="4" s="1"/>
  <c r="R152" i="4"/>
  <c r="S152" i="4" s="1"/>
  <c r="Y152" i="4" s="1"/>
  <c r="R151" i="4"/>
  <c r="S151" i="4" s="1"/>
  <c r="Y151" i="4" s="1"/>
  <c r="R149" i="4"/>
  <c r="S149" i="4" s="1"/>
  <c r="Y149" i="4" s="1"/>
  <c r="R148" i="4"/>
  <c r="S148" i="4" s="1"/>
  <c r="Y148" i="4" s="1"/>
  <c r="R147" i="4"/>
  <c r="S147" i="4" s="1"/>
  <c r="AA147" i="4" s="1"/>
  <c r="R146" i="4"/>
  <c r="S146" i="4" s="1"/>
  <c r="R145" i="4"/>
  <c r="S145" i="4" s="1"/>
  <c r="Y145" i="4" s="1"/>
  <c r="R141" i="4"/>
  <c r="R139" i="4"/>
  <c r="S139" i="4" s="1"/>
  <c r="AA139" i="4" s="1"/>
  <c r="R138" i="4"/>
  <c r="U138" i="4" s="1"/>
  <c r="W138" i="4" s="1"/>
  <c r="R137" i="4"/>
  <c r="S137" i="4" s="1"/>
  <c r="Y137" i="4" s="1"/>
  <c r="L166" i="4"/>
  <c r="L165" i="4"/>
  <c r="L164" i="4"/>
  <c r="L163" i="4"/>
  <c r="L162" i="4"/>
  <c r="L161" i="4"/>
  <c r="L160" i="4"/>
  <c r="L158" i="4"/>
  <c r="L157" i="4"/>
  <c r="L156" i="4"/>
  <c r="L155" i="4"/>
  <c r="L154" i="4"/>
  <c r="L152" i="4"/>
  <c r="L151" i="4"/>
  <c r="L149" i="4"/>
  <c r="L148" i="4"/>
  <c r="L147" i="4"/>
  <c r="L146" i="4"/>
  <c r="L145" i="4"/>
  <c r="L141" i="4"/>
  <c r="L139" i="4"/>
  <c r="L138" i="4"/>
  <c r="L137" i="4"/>
  <c r="J166" i="4"/>
  <c r="J165" i="4"/>
  <c r="J164" i="4"/>
  <c r="J163" i="4"/>
  <c r="J162" i="4"/>
  <c r="J161" i="4"/>
  <c r="J160" i="4"/>
  <c r="J158" i="4"/>
  <c r="J157" i="4"/>
  <c r="J156" i="4"/>
  <c r="J155" i="4"/>
  <c r="J154" i="4"/>
  <c r="J152" i="4"/>
  <c r="J151" i="4"/>
  <c r="J149" i="4"/>
  <c r="J148" i="4"/>
  <c r="J147" i="4"/>
  <c r="J146" i="4"/>
  <c r="J145" i="4"/>
  <c r="J141" i="4"/>
  <c r="J139" i="4"/>
  <c r="J138" i="4"/>
  <c r="J137" i="4"/>
  <c r="Z98" i="4"/>
  <c r="R133" i="4"/>
  <c r="S133" i="4" s="1"/>
  <c r="Y133" i="4" s="1"/>
  <c r="R132" i="4"/>
  <c r="S132" i="4" s="1"/>
  <c r="Y132" i="4" s="1"/>
  <c r="R131" i="4"/>
  <c r="S131" i="4" s="1"/>
  <c r="Y131" i="4" s="1"/>
  <c r="R130" i="4"/>
  <c r="S130" i="4" s="1"/>
  <c r="AA130" i="4" s="1"/>
  <c r="R129" i="4"/>
  <c r="S129" i="4" s="1"/>
  <c r="Y129" i="4" s="1"/>
  <c r="R128" i="4"/>
  <c r="S128" i="4" s="1"/>
  <c r="Y128" i="4" s="1"/>
  <c r="R127" i="4"/>
  <c r="S127" i="4" s="1"/>
  <c r="R126" i="4"/>
  <c r="S126" i="4" s="1"/>
  <c r="AA126" i="4" s="1"/>
  <c r="R125" i="4"/>
  <c r="S125" i="4" s="1"/>
  <c r="Y125" i="4" s="1"/>
  <c r="R124" i="4"/>
  <c r="S124" i="4" s="1"/>
  <c r="AA124" i="4" s="1"/>
  <c r="R123" i="4"/>
  <c r="S123" i="4" s="1"/>
  <c r="Y123" i="4" s="1"/>
  <c r="R122" i="4"/>
  <c r="S122" i="4" s="1"/>
  <c r="Y122" i="4" s="1"/>
  <c r="R120" i="4"/>
  <c r="S120" i="4" s="1"/>
  <c r="Y120" i="4" s="1"/>
  <c r="R119" i="4"/>
  <c r="S119" i="4" s="1"/>
  <c r="R118" i="4"/>
  <c r="S118" i="4" s="1"/>
  <c r="Y118" i="4" s="1"/>
  <c r="R117" i="4"/>
  <c r="S117" i="4" s="1"/>
  <c r="Y117" i="4" s="1"/>
  <c r="R116" i="4"/>
  <c r="S116" i="4" s="1"/>
  <c r="Y116" i="4" s="1"/>
  <c r="R115" i="4"/>
  <c r="S115" i="4" s="1"/>
  <c r="Y115" i="4" s="1"/>
  <c r="R114" i="4"/>
  <c r="S114" i="4" s="1"/>
  <c r="Y114" i="4" s="1"/>
  <c r="R113" i="4"/>
  <c r="S113" i="4" s="1"/>
  <c r="Y113" i="4" s="1"/>
  <c r="R112" i="4"/>
  <c r="S112" i="4" s="1"/>
  <c r="Y112" i="4" s="1"/>
  <c r="R111" i="4"/>
  <c r="S111" i="4" s="1"/>
  <c r="Y111" i="4" s="1"/>
  <c r="R110" i="4"/>
  <c r="S110" i="4" s="1"/>
  <c r="Y110" i="4" s="1"/>
  <c r="R108" i="4"/>
  <c r="S108" i="4" s="1"/>
  <c r="Y108" i="4" s="1"/>
  <c r="R107" i="4"/>
  <c r="R106" i="4"/>
  <c r="S106" i="4" s="1"/>
  <c r="Y106" i="4" s="1"/>
  <c r="R102" i="4"/>
  <c r="S102" i="4" s="1"/>
  <c r="R99" i="4"/>
  <c r="S99" i="4" s="1"/>
  <c r="Y99" i="4" s="1"/>
  <c r="L134" i="4"/>
  <c r="L132" i="4"/>
  <c r="L131" i="4"/>
  <c r="L130" i="4"/>
  <c r="L129" i="4"/>
  <c r="L128" i="4"/>
  <c r="L127" i="4"/>
  <c r="L126" i="4"/>
  <c r="L124" i="4"/>
  <c r="L123" i="4"/>
  <c r="L120" i="4"/>
  <c r="L119" i="4"/>
  <c r="L118" i="4"/>
  <c r="L117" i="4"/>
  <c r="L116" i="4"/>
  <c r="L115" i="4"/>
  <c r="L114" i="4"/>
  <c r="L113" i="4"/>
  <c r="L112" i="4"/>
  <c r="L111" i="4"/>
  <c r="L110" i="4"/>
  <c r="L104" i="4"/>
  <c r="L102" i="4"/>
  <c r="L101" i="4"/>
  <c r="J134" i="4"/>
  <c r="J132" i="4"/>
  <c r="J131" i="4"/>
  <c r="J130" i="4"/>
  <c r="J129" i="4"/>
  <c r="J128" i="4"/>
  <c r="J127" i="4"/>
  <c r="J126" i="4"/>
  <c r="J124" i="4"/>
  <c r="J123" i="4"/>
  <c r="J120" i="4"/>
  <c r="J119" i="4"/>
  <c r="J118" i="4"/>
  <c r="J117" i="4"/>
  <c r="J116" i="4"/>
  <c r="J115" i="4"/>
  <c r="J114" i="4"/>
  <c r="J113" i="4"/>
  <c r="J112" i="4"/>
  <c r="J111" i="4"/>
  <c r="J110" i="4"/>
  <c r="E150" i="8"/>
  <c r="J104" i="4"/>
  <c r="J103" i="4"/>
  <c r="J102" i="4"/>
  <c r="J101" i="4"/>
  <c r="L99" i="4"/>
  <c r="L98" i="4" s="1"/>
  <c r="K99" i="4"/>
  <c r="K98" i="4" s="1"/>
  <c r="J99" i="4"/>
  <c r="J98" i="4" s="1"/>
  <c r="I99" i="4"/>
  <c r="I98" i="4" s="1"/>
  <c r="L96" i="4"/>
  <c r="L95" i="4" s="1"/>
  <c r="H146" i="8" s="1"/>
  <c r="L94" i="4"/>
  <c r="L93" i="4"/>
  <c r="L92" i="4"/>
  <c r="L90" i="4"/>
  <c r="L89" i="4"/>
  <c r="L88" i="4"/>
  <c r="L87" i="4"/>
  <c r="L86" i="4"/>
  <c r="L85" i="4"/>
  <c r="L84" i="4"/>
  <c r="J96" i="4"/>
  <c r="J95" i="4" s="1"/>
  <c r="E146" i="8" s="1"/>
  <c r="J94" i="4"/>
  <c r="J93" i="4"/>
  <c r="J92" i="4"/>
  <c r="J87" i="4"/>
  <c r="J84" i="4"/>
  <c r="J90" i="4"/>
  <c r="J89" i="4"/>
  <c r="J88" i="4"/>
  <c r="J86" i="4"/>
  <c r="J85" i="4"/>
  <c r="R96" i="4"/>
  <c r="S96" i="4" s="1"/>
  <c r="Y96" i="4" s="1"/>
  <c r="R94" i="4"/>
  <c r="S94" i="4" s="1"/>
  <c r="Y94" i="4" s="1"/>
  <c r="R93" i="4"/>
  <c r="S93" i="4" s="1"/>
  <c r="AA93" i="4" s="1"/>
  <c r="R92" i="4"/>
  <c r="U92" i="4" s="1"/>
  <c r="R89" i="4"/>
  <c r="S89" i="4" s="1"/>
  <c r="Y89" i="4" s="1"/>
  <c r="R88" i="4"/>
  <c r="R87" i="4"/>
  <c r="U87" i="4" s="1"/>
  <c r="W87" i="4" s="1"/>
  <c r="R86" i="4"/>
  <c r="S86" i="4" s="1"/>
  <c r="Y86" i="4" s="1"/>
  <c r="R85" i="4"/>
  <c r="S85" i="4" s="1"/>
  <c r="Y85" i="4" s="1"/>
  <c r="R84" i="4"/>
  <c r="W93" i="4"/>
  <c r="U90" i="4"/>
  <c r="W90" i="4" s="1"/>
  <c r="R81" i="4"/>
  <c r="S81" i="4" s="1"/>
  <c r="R80" i="4"/>
  <c r="S80" i="4" s="1"/>
  <c r="Y80" i="4" s="1"/>
  <c r="R78" i="4"/>
  <c r="R76" i="4"/>
  <c r="S76" i="4" s="1"/>
  <c r="R75" i="4"/>
  <c r="S75" i="4" s="1"/>
  <c r="Y75" i="4" s="1"/>
  <c r="R74" i="4"/>
  <c r="S74" i="4" s="1"/>
  <c r="Y74" i="4" s="1"/>
  <c r="R72" i="4"/>
  <c r="U72" i="4" s="1"/>
  <c r="W72" i="4" s="1"/>
  <c r="R71" i="4"/>
  <c r="S71" i="4" s="1"/>
  <c r="R70" i="4"/>
  <c r="S70" i="4" s="1"/>
  <c r="Y70" i="4" s="1"/>
  <c r="R68" i="4"/>
  <c r="W68" i="4" s="1"/>
  <c r="R67" i="4"/>
  <c r="U67" i="4" s="1"/>
  <c r="W67" i="4" s="1"/>
  <c r="R66" i="4"/>
  <c r="S66" i="4" s="1"/>
  <c r="Y66" i="4" s="1"/>
  <c r="R65" i="4"/>
  <c r="S65" i="4" s="1"/>
  <c r="R63" i="4"/>
  <c r="S63" i="4" s="1"/>
  <c r="Y63" i="4" s="1"/>
  <c r="R62" i="4"/>
  <c r="S62" i="4" s="1"/>
  <c r="Y62" i="4" s="1"/>
  <c r="L81" i="4"/>
  <c r="L80" i="4"/>
  <c r="L78" i="4"/>
  <c r="L77" i="4" s="1"/>
  <c r="H141" i="8" s="1"/>
  <c r="L75" i="4"/>
  <c r="L74" i="4"/>
  <c r="L72" i="4"/>
  <c r="L71" i="4"/>
  <c r="L70" i="4"/>
  <c r="L68" i="4"/>
  <c r="L67" i="4"/>
  <c r="L66" i="4"/>
  <c r="L65" i="4"/>
  <c r="L63" i="4"/>
  <c r="L62" i="4"/>
  <c r="J81" i="4"/>
  <c r="J80" i="4"/>
  <c r="J78" i="4"/>
  <c r="J77" i="4" s="1"/>
  <c r="E141" i="8" s="1"/>
  <c r="J75" i="4"/>
  <c r="J74" i="4"/>
  <c r="J72" i="4"/>
  <c r="J71" i="4"/>
  <c r="J70" i="4"/>
  <c r="J68" i="4"/>
  <c r="J67" i="4"/>
  <c r="J66" i="4"/>
  <c r="J65" i="4"/>
  <c r="J63" i="4"/>
  <c r="J62" i="4"/>
  <c r="R59" i="4"/>
  <c r="S59" i="4" s="1"/>
  <c r="Y59" i="4" s="1"/>
  <c r="R58" i="4"/>
  <c r="S58" i="4" s="1"/>
  <c r="Y58" i="4" s="1"/>
  <c r="R56" i="4"/>
  <c r="S56" i="4" s="1"/>
  <c r="R55" i="4"/>
  <c r="S55" i="4" s="1"/>
  <c r="Y55" i="4" s="1"/>
  <c r="R54" i="4"/>
  <c r="S54" i="4" s="1"/>
  <c r="Y54" i="4" s="1"/>
  <c r="R52" i="4"/>
  <c r="S52" i="4" s="1"/>
  <c r="Y52" i="4" s="1"/>
  <c r="R51" i="4"/>
  <c r="S51" i="4" s="1"/>
  <c r="Y51" i="4" s="1"/>
  <c r="R49" i="4"/>
  <c r="S49" i="4" s="1"/>
  <c r="Y49" i="4" s="1"/>
  <c r="R48" i="4"/>
  <c r="S48" i="4" s="1"/>
  <c r="Y48" i="4" s="1"/>
  <c r="R47" i="4"/>
  <c r="S47" i="4" s="1"/>
  <c r="Y47" i="4" s="1"/>
  <c r="R45" i="4"/>
  <c r="S45" i="4" s="1"/>
  <c r="Y45" i="4" s="1"/>
  <c r="R44" i="4"/>
  <c r="S44" i="4" s="1"/>
  <c r="R43" i="4"/>
  <c r="S43" i="4" s="1"/>
  <c r="R42" i="4"/>
  <c r="S42" i="4" s="1"/>
  <c r="R41" i="4"/>
  <c r="S41" i="4" s="1"/>
  <c r="Y41" i="4" s="1"/>
  <c r="R40" i="4"/>
  <c r="S40" i="4" s="1"/>
  <c r="Y40" i="4" s="1"/>
  <c r="R39" i="4"/>
  <c r="S39" i="4" s="1"/>
  <c r="L59" i="4"/>
  <c r="L58" i="4"/>
  <c r="L56" i="4"/>
  <c r="L55" i="4"/>
  <c r="L54" i="4"/>
  <c r="L52" i="4"/>
  <c r="L51" i="4"/>
  <c r="L49" i="4"/>
  <c r="L48" i="4"/>
  <c r="L47" i="4"/>
  <c r="L43" i="4"/>
  <c r="L41" i="4"/>
  <c r="L40" i="4"/>
  <c r="J59" i="4"/>
  <c r="J58" i="4"/>
  <c r="J55" i="4"/>
  <c r="J54" i="4"/>
  <c r="J52" i="4"/>
  <c r="J51" i="4"/>
  <c r="J49" i="4"/>
  <c r="J48" i="4"/>
  <c r="J47" i="4"/>
  <c r="J43" i="4"/>
  <c r="J41" i="4"/>
  <c r="J40" i="4"/>
  <c r="T27" i="4"/>
  <c r="R36" i="4"/>
  <c r="W36" i="4" s="1"/>
  <c r="R35" i="4"/>
  <c r="S35" i="4" s="1"/>
  <c r="R34" i="4"/>
  <c r="S34" i="4" s="1"/>
  <c r="Y34" i="4" s="1"/>
  <c r="R32" i="4"/>
  <c r="S32" i="4" s="1"/>
  <c r="R31" i="4"/>
  <c r="S31" i="4" s="1"/>
  <c r="Y31" i="4" s="1"/>
  <c r="R30" i="4"/>
  <c r="S30" i="4" s="1"/>
  <c r="Y30" i="4" s="1"/>
  <c r="R29" i="4"/>
  <c r="S29" i="4" s="1"/>
  <c r="Y29" i="4" s="1"/>
  <c r="R28" i="4"/>
  <c r="S28" i="4" s="1"/>
  <c r="Y28" i="4" s="1"/>
  <c r="L36" i="4"/>
  <c r="L35" i="4"/>
  <c r="L34" i="4"/>
  <c r="L32" i="4"/>
  <c r="L31" i="4"/>
  <c r="L30" i="4"/>
  <c r="L29" i="4"/>
  <c r="L28" i="4"/>
  <c r="J36" i="4"/>
  <c r="J35" i="4"/>
  <c r="J34" i="4"/>
  <c r="J32" i="4"/>
  <c r="J31" i="4"/>
  <c r="J30" i="4"/>
  <c r="J29" i="4"/>
  <c r="J28" i="4"/>
  <c r="R25" i="4"/>
  <c r="S25" i="4" s="1"/>
  <c r="Y25" i="4" s="1"/>
  <c r="R24" i="4"/>
  <c r="S24" i="4" s="1"/>
  <c r="Y24" i="4" s="1"/>
  <c r="R23" i="4"/>
  <c r="S23" i="4" s="1"/>
  <c r="L25" i="4"/>
  <c r="L24" i="4"/>
  <c r="L23" i="4"/>
  <c r="J25" i="4"/>
  <c r="J24" i="4"/>
  <c r="J23" i="4"/>
  <c r="W16" i="4"/>
  <c r="R7" i="4"/>
  <c r="S7" i="4" s="1"/>
  <c r="Y7" i="4" s="1"/>
  <c r="R8" i="4"/>
  <c r="S8" i="4" s="1"/>
  <c r="R9" i="4"/>
  <c r="S9" i="4" s="1"/>
  <c r="R10" i="4"/>
  <c r="S10" i="4" s="1"/>
  <c r="R11" i="4"/>
  <c r="S11" i="4" s="1"/>
  <c r="R12" i="4"/>
  <c r="R13" i="4"/>
  <c r="U13" i="4" s="1"/>
  <c r="W13" i="4" s="1"/>
  <c r="R14" i="4"/>
  <c r="U14" i="4" s="1"/>
  <c r="W14" i="4" s="1"/>
  <c r="R15" i="4"/>
  <c r="S15" i="4" s="1"/>
  <c r="Y15" i="4" s="1"/>
  <c r="R16" i="4"/>
  <c r="S16" i="4" s="1"/>
  <c r="Y16" i="4" s="1"/>
  <c r="R17" i="4"/>
  <c r="S17" i="4" s="1"/>
  <c r="Y17" i="4" s="1"/>
  <c r="R18" i="4"/>
  <c r="U18" i="4" s="1"/>
  <c r="W18" i="4" s="1"/>
  <c r="R19" i="4"/>
  <c r="S19" i="4" s="1"/>
  <c r="R20" i="4"/>
  <c r="R21" i="4"/>
  <c r="R6" i="4"/>
  <c r="S6" i="4" s="1"/>
  <c r="Y6" i="4" s="1"/>
  <c r="L7" i="4"/>
  <c r="L21" i="4"/>
  <c r="L20" i="4"/>
  <c r="L19" i="4"/>
  <c r="L18" i="4"/>
  <c r="L17" i="4"/>
  <c r="L16" i="4"/>
  <c r="L15" i="4"/>
  <c r="L14" i="4"/>
  <c r="L13" i="4"/>
  <c r="L12" i="4"/>
  <c r="L11" i="4"/>
  <c r="L10" i="4"/>
  <c r="L9" i="4"/>
  <c r="L8" i="4"/>
  <c r="L6" i="4"/>
  <c r="J21" i="4"/>
  <c r="J18" i="4"/>
  <c r="J17" i="4"/>
  <c r="J13" i="4"/>
  <c r="J7" i="4"/>
  <c r="J6" i="4"/>
  <c r="Y121" i="4" l="1"/>
  <c r="S19" i="5"/>
  <c r="Y19" i="5" s="1"/>
  <c r="Y18" i="5" s="1"/>
  <c r="U19" i="5"/>
  <c r="S70" i="5"/>
  <c r="Y70" i="5" s="1"/>
  <c r="U70" i="5"/>
  <c r="W70" i="5" s="1"/>
  <c r="S78" i="4"/>
  <c r="Y78" i="4" s="1"/>
  <c r="Y77" i="4" s="1"/>
  <c r="K141" i="8" s="1"/>
  <c r="U78" i="4"/>
  <c r="U77" i="4" s="1"/>
  <c r="I141" i="8" s="1"/>
  <c r="AA15" i="6"/>
  <c r="Y14" i="6"/>
  <c r="K201" i="8" s="1"/>
  <c r="AA34" i="6"/>
  <c r="S7" i="5"/>
  <c r="U7" i="5"/>
  <c r="S135" i="5"/>
  <c r="Y135" i="5" s="1"/>
  <c r="U135" i="5"/>
  <c r="S29" i="5"/>
  <c r="S88" i="4"/>
  <c r="Y88" i="4" s="1"/>
  <c r="AA88" i="4" s="1"/>
  <c r="U88" i="4"/>
  <c r="W88" i="4" s="1"/>
  <c r="AA24" i="4"/>
  <c r="S21" i="4"/>
  <c r="Y21" i="4" s="1"/>
  <c r="U21" i="4"/>
  <c r="W21" i="4" s="1"/>
  <c r="S12" i="4"/>
  <c r="Y12" i="4" s="1"/>
  <c r="U12" i="4"/>
  <c r="W12" i="4" s="1"/>
  <c r="S107" i="4"/>
  <c r="Y107" i="4" s="1"/>
  <c r="AA107" i="4" s="1"/>
  <c r="U107" i="4"/>
  <c r="U105" i="4" s="1"/>
  <c r="I150" i="8" s="1"/>
  <c r="AA25" i="6"/>
  <c r="S41" i="5"/>
  <c r="Y41" i="5" s="1"/>
  <c r="AA91" i="5"/>
  <c r="AA20" i="5"/>
  <c r="Z6" i="6"/>
  <c r="AA6" i="6"/>
  <c r="S37" i="5"/>
  <c r="Y37" i="5" s="1"/>
  <c r="U37" i="5"/>
  <c r="W37" i="5" s="1"/>
  <c r="Y39" i="5"/>
  <c r="S20" i="4"/>
  <c r="Y20" i="4" s="1"/>
  <c r="U20" i="4"/>
  <c r="S156" i="4"/>
  <c r="Y156" i="4" s="1"/>
  <c r="Y150" i="4" s="1"/>
  <c r="Y26" i="6"/>
  <c r="AA41" i="4"/>
  <c r="Y22" i="4"/>
  <c r="K126" i="8" s="1"/>
  <c r="AA138" i="5"/>
  <c r="AA132" i="5"/>
  <c r="AA100" i="5"/>
  <c r="AA34" i="5"/>
  <c r="Y59" i="5"/>
  <c r="AA42" i="5"/>
  <c r="Y88" i="5"/>
  <c r="U115" i="5"/>
  <c r="W115" i="5" s="1"/>
  <c r="AA44" i="5"/>
  <c r="Y89" i="5"/>
  <c r="Y26" i="5"/>
  <c r="K169" i="8" s="1"/>
  <c r="AA130" i="5"/>
  <c r="AA47" i="5"/>
  <c r="Y109" i="4"/>
  <c r="Y99" i="5"/>
  <c r="K189" i="8" s="1"/>
  <c r="AA25" i="5"/>
  <c r="AA35" i="5"/>
  <c r="AA16" i="5"/>
  <c r="AA15" i="5"/>
  <c r="AA14" i="5"/>
  <c r="AA13" i="5"/>
  <c r="AA38" i="5"/>
  <c r="AA11" i="5"/>
  <c r="AA27" i="5"/>
  <c r="AA51" i="5"/>
  <c r="AA50" i="5"/>
  <c r="AA52" i="5"/>
  <c r="AA53" i="5"/>
  <c r="AA29" i="4"/>
  <c r="AA30" i="4"/>
  <c r="AA63" i="4"/>
  <c r="AA28" i="4"/>
  <c r="Y27" i="4"/>
  <c r="AA141" i="5"/>
  <c r="AA137" i="5"/>
  <c r="AA133" i="5"/>
  <c r="AA128" i="5"/>
  <c r="AA126" i="5"/>
  <c r="AA124" i="5"/>
  <c r="AA122" i="5"/>
  <c r="AA121" i="5"/>
  <c r="AA120" i="5"/>
  <c r="AA119" i="5"/>
  <c r="AA118" i="5"/>
  <c r="AA117" i="5"/>
  <c r="AA114" i="5"/>
  <c r="AA113" i="5"/>
  <c r="S169" i="4"/>
  <c r="Y169" i="4" s="1"/>
  <c r="U169" i="4"/>
  <c r="U168" i="4" s="1"/>
  <c r="AA97" i="5"/>
  <c r="AA96" i="5"/>
  <c r="AA90" i="5"/>
  <c r="AA87" i="5"/>
  <c r="AA84" i="5"/>
  <c r="AA83" i="5"/>
  <c r="AA82" i="5"/>
  <c r="AA81" i="5"/>
  <c r="AA76" i="5"/>
  <c r="AA72" i="5"/>
  <c r="AA71" i="5"/>
  <c r="AA73" i="5"/>
  <c r="AA70" i="5"/>
  <c r="AA67" i="5"/>
  <c r="AA66" i="5" s="1"/>
  <c r="AA64" i="5"/>
  <c r="AA65" i="5"/>
  <c r="AA63" i="5"/>
  <c r="AA62" i="5"/>
  <c r="AA60" i="5"/>
  <c r="Y57" i="4"/>
  <c r="K135" i="8" s="1"/>
  <c r="AA58" i="4"/>
  <c r="AA19" i="6"/>
  <c r="AA21" i="6"/>
  <c r="AA35" i="6"/>
  <c r="AA20" i="6"/>
  <c r="AA36" i="6"/>
  <c r="AA46" i="6"/>
  <c r="AA39" i="6"/>
  <c r="AA16" i="6"/>
  <c r="AA17" i="6"/>
  <c r="AA42" i="6"/>
  <c r="AA41" i="6"/>
  <c r="AA13" i="6"/>
  <c r="AA18" i="6"/>
  <c r="AA46" i="5"/>
  <c r="AA45" i="5"/>
  <c r="AA94" i="4"/>
  <c r="AA45" i="4"/>
  <c r="AA74" i="4"/>
  <c r="AA113" i="4"/>
  <c r="AA75" i="4"/>
  <c r="AA132" i="4"/>
  <c r="AA17" i="4"/>
  <c r="AA116" i="4"/>
  <c r="AA125" i="4"/>
  <c r="AA133" i="4"/>
  <c r="AA148" i="4"/>
  <c r="AA157" i="4"/>
  <c r="AA80" i="4"/>
  <c r="AA79" i="4" s="1"/>
  <c r="M142" i="8" s="1"/>
  <c r="AA108" i="4"/>
  <c r="AA117" i="4"/>
  <c r="AA149" i="4"/>
  <c r="AA15" i="4"/>
  <c r="AA7" i="4"/>
  <c r="AA34" i="4"/>
  <c r="AA70" i="4"/>
  <c r="AA89" i="4"/>
  <c r="AA118" i="4"/>
  <c r="AA127" i="4"/>
  <c r="AA151" i="4"/>
  <c r="AA71" i="4"/>
  <c r="AA111" i="4"/>
  <c r="AA128" i="4"/>
  <c r="AA152" i="4"/>
  <c r="AA145" i="4"/>
  <c r="AA154" i="4"/>
  <c r="AA65" i="4"/>
  <c r="AA85" i="4"/>
  <c r="AA104" i="4"/>
  <c r="AA114" i="4"/>
  <c r="AA123" i="4"/>
  <c r="AA131" i="4"/>
  <c r="AA146" i="4"/>
  <c r="AA66" i="4"/>
  <c r="AA86" i="4"/>
  <c r="AA115" i="4"/>
  <c r="AA16" i="4"/>
  <c r="AA25" i="4"/>
  <c r="AA112" i="4"/>
  <c r="AA120" i="4"/>
  <c r="AA129" i="4"/>
  <c r="AA153" i="4"/>
  <c r="AA52" i="4"/>
  <c r="AA48" i="4"/>
  <c r="AA49" i="4"/>
  <c r="AA47" i="4"/>
  <c r="AA21" i="5"/>
  <c r="AA22" i="5"/>
  <c r="AA137" i="4"/>
  <c r="AA56" i="4"/>
  <c r="AA55" i="4"/>
  <c r="AA52" i="6"/>
  <c r="AA108" i="5"/>
  <c r="AA107" i="5"/>
  <c r="AA106" i="5"/>
  <c r="AA104" i="5"/>
  <c r="AA103" i="5"/>
  <c r="AA102" i="5"/>
  <c r="AA101" i="5"/>
  <c r="AA40" i="4"/>
  <c r="L5" i="6"/>
  <c r="H200" i="8" s="1"/>
  <c r="AA33" i="6"/>
  <c r="AA23" i="6"/>
  <c r="W52" i="6"/>
  <c r="W47" i="6" s="1"/>
  <c r="J26" i="5"/>
  <c r="AA31" i="4"/>
  <c r="AA110" i="4"/>
  <c r="AA6" i="4"/>
  <c r="AA59" i="4"/>
  <c r="AA51" i="4"/>
  <c r="Y50" i="4"/>
  <c r="K133" i="8" s="1"/>
  <c r="U11" i="5"/>
  <c r="W11" i="5" s="1"/>
  <c r="L40" i="5"/>
  <c r="H173" i="8" s="1"/>
  <c r="J58" i="5"/>
  <c r="E179" i="8" s="1"/>
  <c r="J74" i="5"/>
  <c r="E183" i="8" s="1"/>
  <c r="U137" i="5"/>
  <c r="W137" i="5" s="1"/>
  <c r="J46" i="4"/>
  <c r="E132" i="8" s="1"/>
  <c r="U96" i="5"/>
  <c r="W96" i="5" s="1"/>
  <c r="U132" i="5"/>
  <c r="W132" i="5" s="1"/>
  <c r="U76" i="5"/>
  <c r="W76" i="5" s="1"/>
  <c r="U13" i="5"/>
  <c r="W13" i="5" s="1"/>
  <c r="L105" i="5"/>
  <c r="H190" i="8" s="1"/>
  <c r="J85" i="5"/>
  <c r="E186" i="8" s="1"/>
  <c r="U26" i="6"/>
  <c r="W26" i="6" s="1"/>
  <c r="U21" i="6"/>
  <c r="W21" i="6" s="1"/>
  <c r="U34" i="6"/>
  <c r="W34" i="6" s="1"/>
  <c r="L23" i="5"/>
  <c r="H168" i="8" s="1"/>
  <c r="J49" i="5"/>
  <c r="E176" i="8" s="1"/>
  <c r="E175" i="8" s="1"/>
  <c r="J139" i="5"/>
  <c r="E197" i="8" s="1"/>
  <c r="U141" i="5"/>
  <c r="W141" i="5" s="1"/>
  <c r="U10" i="5"/>
  <c r="W10" i="5" s="1"/>
  <c r="U60" i="5"/>
  <c r="W60" i="5" s="1"/>
  <c r="J105" i="5"/>
  <c r="E190" i="8" s="1"/>
  <c r="J40" i="5"/>
  <c r="E173" i="8" s="1"/>
  <c r="U62" i="5"/>
  <c r="W62" i="5" s="1"/>
  <c r="U14" i="5"/>
  <c r="W14" i="5" s="1"/>
  <c r="U45" i="5"/>
  <c r="W45" i="5" s="1"/>
  <c r="U122" i="5"/>
  <c r="W122" i="5" s="1"/>
  <c r="W21" i="5"/>
  <c r="J5" i="5"/>
  <c r="E163" i="8" s="1"/>
  <c r="L58" i="5"/>
  <c r="H179" i="8" s="1"/>
  <c r="U82" i="5"/>
  <c r="W82" i="5" s="1"/>
  <c r="S18" i="4"/>
  <c r="Y18" i="4" s="1"/>
  <c r="W23" i="4"/>
  <c r="L69" i="4"/>
  <c r="H139" i="8" s="1"/>
  <c r="J136" i="4"/>
  <c r="E154" i="8" s="1"/>
  <c r="L57" i="4"/>
  <c r="H135" i="8" s="1"/>
  <c r="AA93" i="5"/>
  <c r="Y92" i="5"/>
  <c r="K187" i="8" s="1"/>
  <c r="AA24" i="5"/>
  <c r="Y23" i="5"/>
  <c r="K168" i="8" s="1"/>
  <c r="Y139" i="5"/>
  <c r="K197" i="8" s="1"/>
  <c r="AA140" i="5"/>
  <c r="AA23" i="4"/>
  <c r="J100" i="4"/>
  <c r="E149" i="8" s="1"/>
  <c r="U46" i="5"/>
  <c r="W46" i="5" s="1"/>
  <c r="S54" i="5"/>
  <c r="Y54" i="5" s="1"/>
  <c r="U83" i="5"/>
  <c r="W83" i="5" s="1"/>
  <c r="J53" i="4"/>
  <c r="E134" i="8" s="1"/>
  <c r="L9" i="5"/>
  <c r="H164" i="8" s="1"/>
  <c r="U8" i="5"/>
  <c r="W8" i="5" s="1"/>
  <c r="J23" i="5"/>
  <c r="E168" i="8" s="1"/>
  <c r="L26" i="5"/>
  <c r="H169" i="8" s="1"/>
  <c r="Y55" i="5"/>
  <c r="K177" i="8" s="1"/>
  <c r="AA56" i="5"/>
  <c r="U90" i="5"/>
  <c r="W90" i="5" s="1"/>
  <c r="U112" i="5"/>
  <c r="W112" i="5" s="1"/>
  <c r="U29" i="6"/>
  <c r="W29" i="6" s="1"/>
  <c r="L47" i="6"/>
  <c r="H206" i="8" s="1"/>
  <c r="L91" i="4"/>
  <c r="H145" i="8" s="1"/>
  <c r="L12" i="5"/>
  <c r="H165" i="8" s="1"/>
  <c r="U128" i="4"/>
  <c r="W128" i="4" s="1"/>
  <c r="J78" i="5"/>
  <c r="E185" i="8" s="1"/>
  <c r="U95" i="5"/>
  <c r="W95" i="5" s="1"/>
  <c r="J116" i="5"/>
  <c r="E193" i="8" s="1"/>
  <c r="L110" i="5"/>
  <c r="H192" i="8" s="1"/>
  <c r="W113" i="5"/>
  <c r="J22" i="6"/>
  <c r="E202" i="8" s="1"/>
  <c r="U119" i="5"/>
  <c r="W119" i="5" s="1"/>
  <c r="L18" i="5"/>
  <c r="H167" i="8" s="1"/>
  <c r="U25" i="5"/>
  <c r="W25" i="5" s="1"/>
  <c r="U63" i="5"/>
  <c r="W63" i="5" s="1"/>
  <c r="S80" i="5"/>
  <c r="Y80" i="5" s="1"/>
  <c r="U104" i="5"/>
  <c r="W104" i="5" s="1"/>
  <c r="L40" i="6"/>
  <c r="H205" i="8" s="1"/>
  <c r="L78" i="5"/>
  <c r="H185" i="8" s="1"/>
  <c r="U34" i="5"/>
  <c r="W34" i="5" s="1"/>
  <c r="U64" i="5"/>
  <c r="W64" i="5" s="1"/>
  <c r="U124" i="5"/>
  <c r="W124" i="5" s="1"/>
  <c r="U24" i="5"/>
  <c r="J50" i="4"/>
  <c r="E133" i="8" s="1"/>
  <c r="AA106" i="4"/>
  <c r="J9" i="5"/>
  <c r="E164" i="8" s="1"/>
  <c r="W16" i="5"/>
  <c r="J32" i="5"/>
  <c r="E171" i="8" s="1"/>
  <c r="U51" i="5"/>
  <c r="W51" i="5" s="1"/>
  <c r="U65" i="5"/>
  <c r="W65" i="5" s="1"/>
  <c r="U81" i="5"/>
  <c r="W81" i="5" s="1"/>
  <c r="J131" i="5"/>
  <c r="E195" i="8" s="1"/>
  <c r="L139" i="5"/>
  <c r="H197" i="8" s="1"/>
  <c r="U18" i="6"/>
  <c r="W18" i="6" s="1"/>
  <c r="AA99" i="4"/>
  <c r="Y98" i="4"/>
  <c r="U22" i="5"/>
  <c r="W22" i="5" s="1"/>
  <c r="L100" i="4"/>
  <c r="H149" i="8" s="1"/>
  <c r="L136" i="4"/>
  <c r="H154" i="8" s="1"/>
  <c r="L53" i="4"/>
  <c r="H134" i="8" s="1"/>
  <c r="J121" i="4"/>
  <c r="L50" i="4"/>
  <c r="H133" i="8" s="1"/>
  <c r="W48" i="4"/>
  <c r="U99" i="4"/>
  <c r="W99" i="4" s="1"/>
  <c r="W98" i="4" s="1"/>
  <c r="W49" i="4"/>
  <c r="L27" i="4"/>
  <c r="H128" i="8" s="1"/>
  <c r="W51" i="4"/>
  <c r="U117" i="4"/>
  <c r="W117" i="4" s="1"/>
  <c r="U17" i="4"/>
  <c r="W17" i="4" s="1"/>
  <c r="L79" i="4"/>
  <c r="H142" i="8" s="1"/>
  <c r="U70" i="4"/>
  <c r="W70" i="4" s="1"/>
  <c r="L121" i="4"/>
  <c r="H152" i="8" s="1"/>
  <c r="U118" i="4"/>
  <c r="W118" i="4" s="1"/>
  <c r="J69" i="4"/>
  <c r="E139" i="8" s="1"/>
  <c r="J79" i="4"/>
  <c r="E142" i="8" s="1"/>
  <c r="U119" i="4"/>
  <c r="W119" i="4" s="1"/>
  <c r="W156" i="4"/>
  <c r="J33" i="4"/>
  <c r="E129" i="8" s="1"/>
  <c r="L33" i="4"/>
  <c r="H129" i="8" s="1"/>
  <c r="J57" i="4"/>
  <c r="E135" i="8" s="1"/>
  <c r="L46" i="4"/>
  <c r="H132" i="8" s="1"/>
  <c r="L61" i="4"/>
  <c r="H137" i="8" s="1"/>
  <c r="W127" i="4"/>
  <c r="AA122" i="4"/>
  <c r="AA54" i="4"/>
  <c r="Y53" i="4"/>
  <c r="K134" i="8" s="1"/>
  <c r="E148" i="8"/>
  <c r="AA62" i="4"/>
  <c r="H148" i="8"/>
  <c r="L167" i="4"/>
  <c r="AA143" i="4"/>
  <c r="U30" i="4"/>
  <c r="W30" i="4" s="1"/>
  <c r="S72" i="4"/>
  <c r="Y72" i="4" s="1"/>
  <c r="J159" i="4"/>
  <c r="E158" i="8" s="1"/>
  <c r="F158" i="8" s="1"/>
  <c r="U52" i="4"/>
  <c r="W52" i="4" s="1"/>
  <c r="W146" i="4"/>
  <c r="U54" i="4"/>
  <c r="U85" i="4"/>
  <c r="W85" i="4" s="1"/>
  <c r="U123" i="4"/>
  <c r="W123" i="4" s="1"/>
  <c r="U131" i="4"/>
  <c r="W131" i="4" s="1"/>
  <c r="W147" i="4"/>
  <c r="AA171" i="4"/>
  <c r="W145" i="4"/>
  <c r="J61" i="4"/>
  <c r="E137" i="8" s="1"/>
  <c r="U55" i="4"/>
  <c r="W55" i="4" s="1"/>
  <c r="U124" i="4"/>
  <c r="W124" i="4" s="1"/>
  <c r="U132" i="4"/>
  <c r="W132" i="4" s="1"/>
  <c r="L144" i="4"/>
  <c r="H156" i="8" s="1"/>
  <c r="S138" i="4"/>
  <c r="U113" i="4"/>
  <c r="W113" i="4" s="1"/>
  <c r="U137" i="4"/>
  <c r="Y46" i="4"/>
  <c r="K132" i="8" s="1"/>
  <c r="J22" i="4"/>
  <c r="E126" i="8" s="1"/>
  <c r="AA32" i="4"/>
  <c r="U31" i="4"/>
  <c r="W31" i="4" s="1"/>
  <c r="U62" i="4"/>
  <c r="J91" i="4"/>
  <c r="E145" i="8" s="1"/>
  <c r="U129" i="4"/>
  <c r="W129" i="4" s="1"/>
  <c r="L159" i="4"/>
  <c r="H158" i="8" s="1"/>
  <c r="U63" i="4"/>
  <c r="W63" i="4" s="1"/>
  <c r="U43" i="4"/>
  <c r="W56" i="4"/>
  <c r="U34" i="4"/>
  <c r="W34" i="4" s="1"/>
  <c r="U47" i="4"/>
  <c r="W115" i="4"/>
  <c r="U134" i="4"/>
  <c r="W134" i="4" s="1"/>
  <c r="S141" i="4"/>
  <c r="Y141" i="4" s="1"/>
  <c r="U141" i="4"/>
  <c r="W141" i="4" s="1"/>
  <c r="W140" i="4" s="1"/>
  <c r="U152" i="4"/>
  <c r="W152" i="4" s="1"/>
  <c r="J40" i="6"/>
  <c r="E205" i="8" s="1"/>
  <c r="U17" i="6"/>
  <c r="Y95" i="4"/>
  <c r="K146" i="8" s="1"/>
  <c r="AA96" i="4"/>
  <c r="AA95" i="4" s="1"/>
  <c r="Y32" i="5"/>
  <c r="K171" i="8" s="1"/>
  <c r="AA33" i="5"/>
  <c r="U33" i="5"/>
  <c r="W33" i="5" s="1"/>
  <c r="U35" i="5"/>
  <c r="W35" i="5" s="1"/>
  <c r="L32" i="5"/>
  <c r="J12" i="5"/>
  <c r="E165" i="8" s="1"/>
  <c r="S6" i="5"/>
  <c r="Y6" i="5" s="1"/>
  <c r="L5" i="5"/>
  <c r="H163" i="8" s="1"/>
  <c r="W6" i="5"/>
  <c r="AA31" i="5"/>
  <c r="AA30" i="5" s="1"/>
  <c r="Y30" i="5"/>
  <c r="K170" i="8" s="1"/>
  <c r="U31" i="5"/>
  <c r="U38" i="5"/>
  <c r="W38" i="5" s="1"/>
  <c r="U39" i="5"/>
  <c r="W39" i="5" s="1"/>
  <c r="L36" i="5"/>
  <c r="H172" i="8" s="1"/>
  <c r="J36" i="5"/>
  <c r="E172" i="8" s="1"/>
  <c r="U20" i="5"/>
  <c r="J18" i="5"/>
  <c r="AA19" i="5"/>
  <c r="Y9" i="5"/>
  <c r="K164" i="8" s="1"/>
  <c r="AA10" i="5"/>
  <c r="U27" i="5"/>
  <c r="W27" i="5" s="1"/>
  <c r="AA28" i="5"/>
  <c r="W28" i="5"/>
  <c r="L74" i="5"/>
  <c r="H183" i="8" s="1"/>
  <c r="AA75" i="5"/>
  <c r="Y74" i="5"/>
  <c r="K183" i="8" s="1"/>
  <c r="U75" i="5"/>
  <c r="W75" i="5" s="1"/>
  <c r="U72" i="5"/>
  <c r="W72" i="5" s="1"/>
  <c r="L68" i="5"/>
  <c r="H182" i="8" s="1"/>
  <c r="U71" i="5"/>
  <c r="W71" i="5" s="1"/>
  <c r="U73" i="5"/>
  <c r="W73" i="5" s="1"/>
  <c r="J68" i="5"/>
  <c r="E182" i="8" s="1"/>
  <c r="AA69" i="5"/>
  <c r="U69" i="5"/>
  <c r="Y66" i="5"/>
  <c r="K181" i="8" s="1"/>
  <c r="U67" i="5"/>
  <c r="L61" i="5"/>
  <c r="H180" i="8" s="1"/>
  <c r="J61" i="5"/>
  <c r="E180" i="8" s="1"/>
  <c r="Y61" i="5"/>
  <c r="K180" i="8" s="1"/>
  <c r="U59" i="5"/>
  <c r="W59" i="5" s="1"/>
  <c r="J140" i="4"/>
  <c r="E155" i="8" s="1"/>
  <c r="L140" i="4"/>
  <c r="H155" i="8" s="1"/>
  <c r="W103" i="4"/>
  <c r="W104" i="4"/>
  <c r="W102" i="4"/>
  <c r="AA101" i="4"/>
  <c r="H150" i="8"/>
  <c r="AA95" i="5"/>
  <c r="U98" i="5"/>
  <c r="W98" i="5" s="1"/>
  <c r="U97" i="5"/>
  <c r="W97" i="5" s="1"/>
  <c r="J94" i="5"/>
  <c r="E188" i="8" s="1"/>
  <c r="L94" i="5"/>
  <c r="H188" i="8" s="1"/>
  <c r="U84" i="5"/>
  <c r="W84" i="5" s="1"/>
  <c r="S79" i="5"/>
  <c r="Y79" i="5" s="1"/>
  <c r="W93" i="5"/>
  <c r="W92" i="5" s="1"/>
  <c r="AA86" i="5"/>
  <c r="U86" i="5"/>
  <c r="W86" i="5" s="1"/>
  <c r="U87" i="5"/>
  <c r="W87" i="5" s="1"/>
  <c r="U88" i="5"/>
  <c r="W88" i="5" s="1"/>
  <c r="L85" i="5"/>
  <c r="H186" i="8" s="1"/>
  <c r="J47" i="6"/>
  <c r="E206" i="8" s="1"/>
  <c r="J167" i="4"/>
  <c r="S45" i="6"/>
  <c r="U25" i="6"/>
  <c r="W25" i="6" s="1"/>
  <c r="S48" i="6"/>
  <c r="Y48" i="6" s="1"/>
  <c r="U108" i="5"/>
  <c r="W108" i="5" s="1"/>
  <c r="U107" i="5"/>
  <c r="Y105" i="5"/>
  <c r="K190" i="8" s="1"/>
  <c r="U106" i="5"/>
  <c r="U100" i="5"/>
  <c r="U102" i="5"/>
  <c r="W102" i="5" s="1"/>
  <c r="J99" i="5"/>
  <c r="E189" i="8" s="1"/>
  <c r="U101" i="5"/>
  <c r="W101" i="5" s="1"/>
  <c r="U103" i="5"/>
  <c r="W103" i="5" s="1"/>
  <c r="L99" i="5"/>
  <c r="H189" i="8" s="1"/>
  <c r="U41" i="4"/>
  <c r="W41" i="4" s="1"/>
  <c r="U40" i="4"/>
  <c r="W40" i="4" s="1"/>
  <c r="U39" i="4"/>
  <c r="U39" i="6"/>
  <c r="W39" i="6" s="1"/>
  <c r="J31" i="6"/>
  <c r="E204" i="8" s="1"/>
  <c r="L31" i="6"/>
  <c r="H204" i="8" s="1"/>
  <c r="U35" i="6"/>
  <c r="W35" i="6" s="1"/>
  <c r="U33" i="6"/>
  <c r="W33" i="6" s="1"/>
  <c r="U13" i="6"/>
  <c r="W13" i="6" s="1"/>
  <c r="U8" i="6"/>
  <c r="W8" i="6" s="1"/>
  <c r="W7" i="6"/>
  <c r="U6" i="6"/>
  <c r="W6" i="6" s="1"/>
  <c r="J5" i="6"/>
  <c r="E200" i="8" s="1"/>
  <c r="L14" i="6"/>
  <c r="H201" i="8" s="1"/>
  <c r="J14" i="6"/>
  <c r="E201" i="8" s="1"/>
  <c r="W76" i="4"/>
  <c r="U75" i="4"/>
  <c r="W75" i="4" s="1"/>
  <c r="U74" i="4"/>
  <c r="W74" i="4" s="1"/>
  <c r="W71" i="4"/>
  <c r="S68" i="4"/>
  <c r="Y68" i="4" s="1"/>
  <c r="S67" i="4"/>
  <c r="Y67" i="4" s="1"/>
  <c r="U66" i="4"/>
  <c r="W66" i="4" s="1"/>
  <c r="J64" i="4"/>
  <c r="E138" i="8" s="1"/>
  <c r="W65" i="4"/>
  <c r="L64" i="4"/>
  <c r="H138" i="8" s="1"/>
  <c r="L22" i="6"/>
  <c r="H202" i="8" s="1"/>
  <c r="U23" i="6"/>
  <c r="W23" i="6" s="1"/>
  <c r="U138" i="5"/>
  <c r="J134" i="5"/>
  <c r="E196" i="8" s="1"/>
  <c r="L134" i="5"/>
  <c r="H196" i="8" s="1"/>
  <c r="W133" i="5"/>
  <c r="Y131" i="5"/>
  <c r="K195" i="8" s="1"/>
  <c r="L131" i="5"/>
  <c r="H195" i="8" s="1"/>
  <c r="W126" i="5"/>
  <c r="S127" i="5"/>
  <c r="Y127" i="5" s="1"/>
  <c r="U128" i="5"/>
  <c r="W128" i="5" s="1"/>
  <c r="W129" i="5"/>
  <c r="U130" i="5"/>
  <c r="W130" i="5" s="1"/>
  <c r="Y116" i="5"/>
  <c r="K193" i="8" s="1"/>
  <c r="W120" i="5"/>
  <c r="U121" i="5"/>
  <c r="W121" i="5" s="1"/>
  <c r="W117" i="5"/>
  <c r="W118" i="5"/>
  <c r="L116" i="5"/>
  <c r="H193" i="8" s="1"/>
  <c r="S115" i="5"/>
  <c r="Y115" i="5" s="1"/>
  <c r="U114" i="5"/>
  <c r="W114" i="5" s="1"/>
  <c r="J110" i="5"/>
  <c r="E192" i="8" s="1"/>
  <c r="W159" i="4"/>
  <c r="L150" i="4"/>
  <c r="H157" i="8" s="1"/>
  <c r="J150" i="4"/>
  <c r="E157" i="8" s="1"/>
  <c r="U154" i="4"/>
  <c r="W154" i="4" s="1"/>
  <c r="U148" i="4"/>
  <c r="W148" i="4" s="1"/>
  <c r="Y144" i="4"/>
  <c r="K156" i="8" s="1"/>
  <c r="J144" i="4"/>
  <c r="E156" i="8" s="1"/>
  <c r="S36" i="4"/>
  <c r="U29" i="4"/>
  <c r="W29" i="4" s="1"/>
  <c r="U28" i="4"/>
  <c r="J27" i="4"/>
  <c r="E128" i="8" s="1"/>
  <c r="W15" i="4"/>
  <c r="S14" i="4"/>
  <c r="Y14" i="4" s="1"/>
  <c r="S13" i="4"/>
  <c r="Y13" i="4" s="1"/>
  <c r="U7" i="4"/>
  <c r="W7" i="4" s="1"/>
  <c r="U6" i="4"/>
  <c r="L5" i="4"/>
  <c r="H125" i="8" s="1"/>
  <c r="J5" i="4"/>
  <c r="E125" i="8" s="1"/>
  <c r="U47" i="5"/>
  <c r="L43" i="5"/>
  <c r="H174" i="8" s="1"/>
  <c r="J43" i="5"/>
  <c r="E174" i="8" s="1"/>
  <c r="U44" i="5"/>
  <c r="W116" i="4"/>
  <c r="U120" i="4"/>
  <c r="W120" i="4" s="1"/>
  <c r="U114" i="4"/>
  <c r="W114" i="4" s="1"/>
  <c r="U111" i="4"/>
  <c r="W111" i="4" s="1"/>
  <c r="U110" i="4"/>
  <c r="U56" i="5"/>
  <c r="U55" i="5" s="1"/>
  <c r="I177" i="8" s="1"/>
  <c r="L49" i="5"/>
  <c r="H176" i="8" s="1"/>
  <c r="H175" i="8" s="1"/>
  <c r="U50" i="5"/>
  <c r="W52" i="5"/>
  <c r="U53" i="5"/>
  <c r="W53" i="5" s="1"/>
  <c r="L109" i="4"/>
  <c r="H151" i="8" s="1"/>
  <c r="J109" i="4"/>
  <c r="U112" i="4"/>
  <c r="W112" i="4" s="1"/>
  <c r="U94" i="4"/>
  <c r="W94" i="4" s="1"/>
  <c r="J83" i="4"/>
  <c r="L83" i="4"/>
  <c r="H144" i="8" s="1"/>
  <c r="U89" i="4"/>
  <c r="W89" i="4" s="1"/>
  <c r="U86" i="4"/>
  <c r="W86" i="4" s="1"/>
  <c r="Y79" i="4"/>
  <c r="K142" i="8" s="1"/>
  <c r="U81" i="4"/>
  <c r="W81" i="4" s="1"/>
  <c r="U80" i="4"/>
  <c r="U59" i="4"/>
  <c r="W59" i="4" s="1"/>
  <c r="W25" i="4"/>
  <c r="W24" i="4"/>
  <c r="L22" i="4"/>
  <c r="H126" i="8" s="1"/>
  <c r="S50" i="6"/>
  <c r="Y50" i="6" s="1"/>
  <c r="S51" i="6"/>
  <c r="Y51" i="6" s="1"/>
  <c r="S49" i="6"/>
  <c r="Y49" i="6" s="1"/>
  <c r="S44" i="6"/>
  <c r="Y44" i="6" s="1"/>
  <c r="W41" i="6"/>
  <c r="W46" i="6"/>
  <c r="S32" i="6"/>
  <c r="U36" i="6"/>
  <c r="W36" i="6" s="1"/>
  <c r="S37" i="6"/>
  <c r="Y37" i="6" s="1"/>
  <c r="AA37" i="6" s="1"/>
  <c r="Y12" i="5"/>
  <c r="K165" i="8" s="1"/>
  <c r="U15" i="5"/>
  <c r="W15" i="5" s="1"/>
  <c r="U96" i="4"/>
  <c r="W92" i="4"/>
  <c r="S92" i="4"/>
  <c r="Y92" i="4" s="1"/>
  <c r="Y91" i="4" s="1"/>
  <c r="W84" i="4"/>
  <c r="S84" i="4"/>
  <c r="Y84" i="4" s="1"/>
  <c r="S87" i="4"/>
  <c r="Y87" i="4" s="1"/>
  <c r="X6" i="4"/>
  <c r="X7" i="4"/>
  <c r="Z7" i="4" s="1"/>
  <c r="X13" i="4"/>
  <c r="Z13" i="4" s="1"/>
  <c r="X14" i="4"/>
  <c r="Z14" i="4" s="1"/>
  <c r="X15" i="4"/>
  <c r="Z15" i="4" s="1"/>
  <c r="X16" i="4"/>
  <c r="Z16" i="4" s="1"/>
  <c r="X17" i="4"/>
  <c r="Z17" i="4" s="1"/>
  <c r="X18" i="4"/>
  <c r="Z18" i="4" s="1"/>
  <c r="V23" i="4"/>
  <c r="X23" i="4"/>
  <c r="Z23" i="4" s="1"/>
  <c r="V25" i="4"/>
  <c r="X25" i="4"/>
  <c r="Z25" i="4" s="1"/>
  <c r="V31" i="4"/>
  <c r="V27" i="4" s="1"/>
  <c r="X31" i="4"/>
  <c r="Z31" i="4" s="1"/>
  <c r="Z27" i="4" s="1"/>
  <c r="V34" i="4"/>
  <c r="X34" i="4"/>
  <c r="Z34" i="4" s="1"/>
  <c r="V36" i="4"/>
  <c r="X36" i="4"/>
  <c r="Z36" i="4" s="1"/>
  <c r="X40" i="4"/>
  <c r="Z40" i="4" s="1"/>
  <c r="X45" i="4"/>
  <c r="Z45" i="4" s="1"/>
  <c r="X47" i="4"/>
  <c r="X48" i="4"/>
  <c r="Z48" i="4" s="1"/>
  <c r="X49" i="4"/>
  <c r="Z49" i="4" s="1"/>
  <c r="X52" i="4"/>
  <c r="X50" i="4" s="1"/>
  <c r="X54" i="4"/>
  <c r="Z54" i="4" s="1"/>
  <c r="V55" i="4"/>
  <c r="X55" i="4"/>
  <c r="Z55" i="4" s="1"/>
  <c r="X56" i="4"/>
  <c r="Z56" i="4" s="1"/>
  <c r="X59" i="4"/>
  <c r="Z59" i="4" s="1"/>
  <c r="Z57" i="4" s="1"/>
  <c r="X62" i="4"/>
  <c r="Z62" i="4" s="1"/>
  <c r="Z61" i="4" s="1"/>
  <c r="V65" i="4"/>
  <c r="X65" i="4"/>
  <c r="Z65" i="4" s="1"/>
  <c r="X66" i="4"/>
  <c r="Z66" i="4" s="1"/>
  <c r="X67" i="4"/>
  <c r="Z67" i="4" s="1"/>
  <c r="V68" i="4"/>
  <c r="X68" i="4"/>
  <c r="Z68" i="4" s="1"/>
  <c r="V70" i="4"/>
  <c r="X70" i="4"/>
  <c r="V71" i="4"/>
  <c r="X71" i="4"/>
  <c r="Z71" i="4" s="1"/>
  <c r="X72" i="4"/>
  <c r="Z72" i="4" s="1"/>
  <c r="V74" i="4"/>
  <c r="X74" i="4"/>
  <c r="X75" i="4"/>
  <c r="Z75" i="4" s="1"/>
  <c r="X78" i="4"/>
  <c r="X77" i="4" s="1"/>
  <c r="X80" i="4"/>
  <c r="V81" i="4"/>
  <c r="X81" i="4"/>
  <c r="Z81" i="4" s="1"/>
  <c r="X85" i="4"/>
  <c r="Z85" i="4" s="1"/>
  <c r="X86" i="4"/>
  <c r="Z86" i="4" s="1"/>
  <c r="X90" i="4"/>
  <c r="X92" i="4"/>
  <c r="X94" i="4"/>
  <c r="Z94" i="4" s="1"/>
  <c r="V96" i="4"/>
  <c r="V95" i="4" s="1"/>
  <c r="X96" i="4"/>
  <c r="X95" i="4" s="1"/>
  <c r="V101" i="4"/>
  <c r="X101" i="4"/>
  <c r="V102" i="4"/>
  <c r="X102" i="4"/>
  <c r="Z102" i="4" s="1"/>
  <c r="V104" i="4"/>
  <c r="X104" i="4"/>
  <c r="X106" i="4"/>
  <c r="Z106" i="4" s="1"/>
  <c r="X107" i="4"/>
  <c r="Z107" i="4" s="1"/>
  <c r="X108" i="4"/>
  <c r="Z108" i="4" s="1"/>
  <c r="V110" i="4"/>
  <c r="X110" i="4"/>
  <c r="X111" i="4"/>
  <c r="Z111" i="4" s="1"/>
  <c r="X113" i="4"/>
  <c r="Z113" i="4" s="1"/>
  <c r="X114" i="4"/>
  <c r="Z114" i="4" s="1"/>
  <c r="V115" i="4"/>
  <c r="X115" i="4"/>
  <c r="Z115" i="4" s="1"/>
  <c r="X116" i="4"/>
  <c r="Z116" i="4" s="1"/>
  <c r="X118" i="4"/>
  <c r="Z118" i="4" s="1"/>
  <c r="Z119" i="4"/>
  <c r="X120" i="4"/>
  <c r="Z120" i="4" s="1"/>
  <c r="X122" i="4"/>
  <c r="X125" i="4"/>
  <c r="Z125" i="4" s="1"/>
  <c r="V127" i="4"/>
  <c r="X127" i="4"/>
  <c r="Z127" i="4" s="1"/>
  <c r="V128" i="4"/>
  <c r="X128" i="4"/>
  <c r="Z128" i="4" s="1"/>
  <c r="X131" i="4"/>
  <c r="Z131" i="4" s="1"/>
  <c r="X133" i="4"/>
  <c r="Z133" i="4" s="1"/>
  <c r="X134" i="4"/>
  <c r="Z134" i="4" s="1"/>
  <c r="V137" i="4"/>
  <c r="V136" i="4" s="1"/>
  <c r="X137" i="4"/>
  <c r="X136" i="4" s="1"/>
  <c r="Y136" i="4" s="1"/>
  <c r="X141" i="4"/>
  <c r="Z141" i="4" s="1"/>
  <c r="V142" i="4"/>
  <c r="X142" i="4"/>
  <c r="Z142" i="4" s="1"/>
  <c r="X143" i="4"/>
  <c r="Z143" i="4" s="1"/>
  <c r="X146" i="4"/>
  <c r="Z146" i="4" s="1"/>
  <c r="X147" i="4"/>
  <c r="Z147" i="4" s="1"/>
  <c r="X148" i="4"/>
  <c r="Z148" i="4" s="1"/>
  <c r="X151" i="4"/>
  <c r="Z151" i="4" s="1"/>
  <c r="X152" i="4"/>
  <c r="Z152" i="4" s="1"/>
  <c r="X153" i="4"/>
  <c r="X154" i="4"/>
  <c r="Z154" i="4" s="1"/>
  <c r="X156" i="4"/>
  <c r="Z156" i="4" s="1"/>
  <c r="X157" i="4"/>
  <c r="Z157" i="4" s="1"/>
  <c r="R132" i="3"/>
  <c r="S132" i="3" s="1"/>
  <c r="Y132" i="3" s="1"/>
  <c r="R131" i="3"/>
  <c r="S131" i="3" s="1"/>
  <c r="Y131" i="3" s="1"/>
  <c r="R130" i="3"/>
  <c r="S130" i="3" s="1"/>
  <c r="R128" i="3"/>
  <c r="R127" i="3"/>
  <c r="R126" i="3"/>
  <c r="S126" i="3" s="1"/>
  <c r="L132" i="3"/>
  <c r="L129" i="3" s="1"/>
  <c r="H122" i="8" s="1"/>
  <c r="L128" i="3"/>
  <c r="L127" i="3"/>
  <c r="L126" i="3"/>
  <c r="J132" i="3"/>
  <c r="J129" i="3" s="1"/>
  <c r="E122" i="8" s="1"/>
  <c r="J128" i="3"/>
  <c r="J127" i="3"/>
  <c r="J126" i="3"/>
  <c r="R123" i="3"/>
  <c r="S123" i="3" s="1"/>
  <c r="R122" i="3"/>
  <c r="S122" i="3" s="1"/>
  <c r="R121" i="3"/>
  <c r="S121" i="3" s="1"/>
  <c r="Y121" i="3" s="1"/>
  <c r="R120" i="3"/>
  <c r="S120" i="3" s="1"/>
  <c r="R119" i="3"/>
  <c r="S119" i="3" s="1"/>
  <c r="Y119" i="3" s="1"/>
  <c r="R118" i="3"/>
  <c r="S118" i="3" s="1"/>
  <c r="R116" i="3"/>
  <c r="S116" i="3" s="1"/>
  <c r="AA116" i="3" s="1"/>
  <c r="R115" i="3"/>
  <c r="S115" i="3" s="1"/>
  <c r="AA115" i="3" s="1"/>
  <c r="R114" i="3"/>
  <c r="S114" i="3" s="1"/>
  <c r="Y114" i="3" s="1"/>
  <c r="R113" i="3"/>
  <c r="S113" i="3" s="1"/>
  <c r="R112" i="3"/>
  <c r="S112" i="3" s="1"/>
  <c r="Y112" i="3" s="1"/>
  <c r="R111" i="3"/>
  <c r="S111" i="3" s="1"/>
  <c r="Y111" i="3" s="1"/>
  <c r="R109" i="3"/>
  <c r="S109" i="3" s="1"/>
  <c r="Y109" i="3" s="1"/>
  <c r="R108" i="3"/>
  <c r="S108" i="3" s="1"/>
  <c r="R106" i="3"/>
  <c r="S106" i="3" s="1"/>
  <c r="Y106" i="3" s="1"/>
  <c r="R105" i="3"/>
  <c r="S105" i="3" s="1"/>
  <c r="Y105" i="3" s="1"/>
  <c r="R104" i="3"/>
  <c r="S104" i="3" s="1"/>
  <c r="Y104" i="3" s="1"/>
  <c r="R103" i="3"/>
  <c r="S103" i="3" s="1"/>
  <c r="Y103" i="3" s="1"/>
  <c r="R102" i="3"/>
  <c r="S102" i="3" s="1"/>
  <c r="Y102" i="3" s="1"/>
  <c r="L119" i="3"/>
  <c r="L123" i="3"/>
  <c r="L122" i="3"/>
  <c r="L121" i="3"/>
  <c r="L118" i="3"/>
  <c r="L116" i="3"/>
  <c r="L115" i="3"/>
  <c r="L114" i="3"/>
  <c r="L112" i="3"/>
  <c r="L111" i="3"/>
  <c r="L109" i="3"/>
  <c r="L108" i="3"/>
  <c r="L106" i="3"/>
  <c r="L105" i="3"/>
  <c r="L104" i="3"/>
  <c r="L103" i="3"/>
  <c r="L102" i="3"/>
  <c r="J123" i="3"/>
  <c r="J122" i="3"/>
  <c r="J121" i="3"/>
  <c r="J119" i="3"/>
  <c r="J118" i="3"/>
  <c r="J116" i="3"/>
  <c r="J115" i="3"/>
  <c r="J114" i="3"/>
  <c r="J112" i="3"/>
  <c r="J111" i="3"/>
  <c r="J109" i="3"/>
  <c r="J108" i="3"/>
  <c r="J106" i="3"/>
  <c r="J105" i="3"/>
  <c r="J104" i="3"/>
  <c r="J103" i="3"/>
  <c r="J102" i="3"/>
  <c r="V56" i="3"/>
  <c r="V54" i="3" s="1"/>
  <c r="R99" i="3"/>
  <c r="S99" i="3" s="1"/>
  <c r="Y99" i="3" s="1"/>
  <c r="R98" i="3"/>
  <c r="S98" i="3" s="1"/>
  <c r="Y98" i="3" s="1"/>
  <c r="R97" i="3"/>
  <c r="S97" i="3" s="1"/>
  <c r="R95" i="3"/>
  <c r="S95" i="3" s="1"/>
  <c r="Y95" i="3" s="1"/>
  <c r="R94" i="3"/>
  <c r="S94" i="3" s="1"/>
  <c r="Y94" i="3" s="1"/>
  <c r="R93" i="3"/>
  <c r="S93" i="3" s="1"/>
  <c r="Y93" i="3" s="1"/>
  <c r="R92" i="3"/>
  <c r="S92" i="3" s="1"/>
  <c r="Y92" i="3" s="1"/>
  <c r="R90" i="3"/>
  <c r="S90" i="3" s="1"/>
  <c r="Y90" i="3" s="1"/>
  <c r="R89" i="3"/>
  <c r="S89" i="3" s="1"/>
  <c r="Y89" i="3" s="1"/>
  <c r="R88" i="3"/>
  <c r="S88" i="3" s="1"/>
  <c r="Y88" i="3" s="1"/>
  <c r="R87" i="3"/>
  <c r="S87" i="3" s="1"/>
  <c r="Y87" i="3" s="1"/>
  <c r="R85" i="3"/>
  <c r="S85" i="3" s="1"/>
  <c r="Y85" i="3" s="1"/>
  <c r="R84" i="3"/>
  <c r="S84" i="3" s="1"/>
  <c r="Y84" i="3" s="1"/>
  <c r="R83" i="3"/>
  <c r="U83" i="3" s="1"/>
  <c r="W83" i="3" s="1"/>
  <c r="R82" i="3"/>
  <c r="S82" i="3" s="1"/>
  <c r="Y82" i="3" s="1"/>
  <c r="R81" i="3"/>
  <c r="S81" i="3" s="1"/>
  <c r="Y81" i="3" s="1"/>
  <c r="R80" i="3"/>
  <c r="S80" i="3" s="1"/>
  <c r="Y80" i="3" s="1"/>
  <c r="R79" i="3"/>
  <c r="S79" i="3" s="1"/>
  <c r="Y79" i="3" s="1"/>
  <c r="R78" i="3"/>
  <c r="S78" i="3" s="1"/>
  <c r="Y78" i="3" s="1"/>
  <c r="R77" i="3"/>
  <c r="S77" i="3" s="1"/>
  <c r="Y77" i="3" s="1"/>
  <c r="R76" i="3"/>
  <c r="S76" i="3" s="1"/>
  <c r="Y76" i="3" s="1"/>
  <c r="R75" i="3"/>
  <c r="S75" i="3" s="1"/>
  <c r="Y75" i="3" s="1"/>
  <c r="R74" i="3"/>
  <c r="S74" i="3" s="1"/>
  <c r="Y74" i="3" s="1"/>
  <c r="R72" i="3"/>
  <c r="S72" i="3" s="1"/>
  <c r="Y72" i="3" s="1"/>
  <c r="R71" i="3"/>
  <c r="U71" i="3" s="1"/>
  <c r="W71" i="3" s="1"/>
  <c r="R70" i="3"/>
  <c r="S70" i="3" s="1"/>
  <c r="Y70" i="3" s="1"/>
  <c r="R69" i="3"/>
  <c r="S69" i="3" s="1"/>
  <c r="Y69" i="3" s="1"/>
  <c r="L98" i="3"/>
  <c r="L99" i="3"/>
  <c r="L97" i="3"/>
  <c r="J99" i="3"/>
  <c r="J98" i="3"/>
  <c r="J97" i="3"/>
  <c r="L93" i="3"/>
  <c r="L95" i="3"/>
  <c r="L94" i="3"/>
  <c r="L92" i="3"/>
  <c r="J95" i="3"/>
  <c r="J94" i="3"/>
  <c r="J93" i="3"/>
  <c r="J92" i="3"/>
  <c r="L89" i="3"/>
  <c r="L90" i="3"/>
  <c r="L88" i="3"/>
  <c r="L87" i="3"/>
  <c r="L76" i="3"/>
  <c r="L85" i="3"/>
  <c r="L84" i="3"/>
  <c r="L83" i="3"/>
  <c r="L82" i="3"/>
  <c r="L81" i="3"/>
  <c r="L80" i="3"/>
  <c r="L79" i="3"/>
  <c r="L78" i="3"/>
  <c r="L77" i="3"/>
  <c r="L75" i="3"/>
  <c r="L74" i="3"/>
  <c r="J90" i="3"/>
  <c r="J89" i="3"/>
  <c r="J88" i="3"/>
  <c r="J87" i="3"/>
  <c r="J85" i="3"/>
  <c r="J84" i="3"/>
  <c r="J83" i="3"/>
  <c r="J82" i="3"/>
  <c r="J81" i="3"/>
  <c r="J80" i="3"/>
  <c r="J79" i="3"/>
  <c r="J78" i="3"/>
  <c r="J77" i="3"/>
  <c r="J76" i="3"/>
  <c r="J75" i="3"/>
  <c r="J74" i="3"/>
  <c r="L71" i="3"/>
  <c r="L70" i="3"/>
  <c r="L72" i="3"/>
  <c r="L69" i="3"/>
  <c r="J72" i="3"/>
  <c r="J71" i="3"/>
  <c r="J70" i="3"/>
  <c r="J69" i="3"/>
  <c r="R66" i="3"/>
  <c r="S66" i="3" s="1"/>
  <c r="R65" i="3"/>
  <c r="S65" i="3" s="1"/>
  <c r="R63" i="3"/>
  <c r="S63" i="3" s="1"/>
  <c r="Y63" i="3" s="1"/>
  <c r="R62" i="3"/>
  <c r="S62" i="3" s="1"/>
  <c r="Y62" i="3" s="1"/>
  <c r="R61" i="3"/>
  <c r="S61" i="3" s="1"/>
  <c r="Y61" i="3" s="1"/>
  <c r="R60" i="3"/>
  <c r="S60" i="3" s="1"/>
  <c r="Y60" i="3" s="1"/>
  <c r="R58" i="3"/>
  <c r="S58" i="3" s="1"/>
  <c r="Y58" i="3" s="1"/>
  <c r="R57" i="3"/>
  <c r="S57" i="3" s="1"/>
  <c r="Y57" i="3" s="1"/>
  <c r="R56" i="3"/>
  <c r="S56" i="3" s="1"/>
  <c r="R55" i="3"/>
  <c r="S55" i="3" s="1"/>
  <c r="Y55" i="3" s="1"/>
  <c r="R53" i="3"/>
  <c r="S53" i="3" s="1"/>
  <c r="R52" i="3"/>
  <c r="S52" i="3" s="1"/>
  <c r="Y52" i="3" s="1"/>
  <c r="R51" i="3"/>
  <c r="S51" i="3" s="1"/>
  <c r="Y51" i="3" s="1"/>
  <c r="R50" i="3"/>
  <c r="R49" i="3"/>
  <c r="S49" i="3" s="1"/>
  <c r="Y49" i="3" s="1"/>
  <c r="R48" i="3"/>
  <c r="S48" i="3" s="1"/>
  <c r="Y48" i="3" s="1"/>
  <c r="R47" i="3"/>
  <c r="L66" i="3"/>
  <c r="L65" i="3"/>
  <c r="J66" i="3"/>
  <c r="J65" i="3"/>
  <c r="L63" i="3"/>
  <c r="L62" i="3"/>
  <c r="L61" i="3"/>
  <c r="L60" i="3"/>
  <c r="L58" i="3"/>
  <c r="L57" i="3"/>
  <c r="L56" i="3"/>
  <c r="L55" i="3"/>
  <c r="L52" i="3"/>
  <c r="L51" i="3"/>
  <c r="L50" i="3"/>
  <c r="L49" i="3"/>
  <c r="L48" i="3"/>
  <c r="L47" i="3"/>
  <c r="J63" i="3"/>
  <c r="J62" i="3"/>
  <c r="J61" i="3"/>
  <c r="J60" i="3"/>
  <c r="J58" i="3"/>
  <c r="J57" i="3"/>
  <c r="J56" i="3"/>
  <c r="J55" i="3"/>
  <c r="J52" i="3"/>
  <c r="J51" i="3"/>
  <c r="J50" i="3"/>
  <c r="J49" i="3"/>
  <c r="J48" i="3"/>
  <c r="J47" i="3"/>
  <c r="R44" i="3"/>
  <c r="S44" i="3" s="1"/>
  <c r="Y44" i="3" s="1"/>
  <c r="R42" i="3"/>
  <c r="S42" i="3" s="1"/>
  <c r="Y42" i="3" s="1"/>
  <c r="R41" i="3"/>
  <c r="S41" i="3" s="1"/>
  <c r="Y41" i="3" s="1"/>
  <c r="R39" i="3"/>
  <c r="S39" i="3" s="1"/>
  <c r="Y39" i="3" s="1"/>
  <c r="R38" i="3"/>
  <c r="S38" i="3" s="1"/>
  <c r="Y38" i="3" s="1"/>
  <c r="R37" i="3"/>
  <c r="S37" i="3" s="1"/>
  <c r="Y37" i="3" s="1"/>
  <c r="R36" i="3"/>
  <c r="S36" i="3" s="1"/>
  <c r="R35" i="3"/>
  <c r="S35" i="3" s="1"/>
  <c r="L44" i="3"/>
  <c r="L43" i="3" s="1"/>
  <c r="H104" i="8" s="1"/>
  <c r="L42" i="3"/>
  <c r="L41" i="3"/>
  <c r="L39" i="3"/>
  <c r="L38" i="3"/>
  <c r="L37" i="3"/>
  <c r="L36" i="3"/>
  <c r="L35" i="3"/>
  <c r="J43" i="3"/>
  <c r="E104" i="8" s="1"/>
  <c r="J42" i="3"/>
  <c r="J41" i="3"/>
  <c r="J39" i="3"/>
  <c r="J38" i="3"/>
  <c r="J37" i="3"/>
  <c r="J36" i="3"/>
  <c r="J35" i="3"/>
  <c r="T21" i="3"/>
  <c r="L32" i="3"/>
  <c r="L31" i="3"/>
  <c r="L30" i="3"/>
  <c r="L27" i="3"/>
  <c r="L26" i="3"/>
  <c r="L25" i="3"/>
  <c r="L23" i="3"/>
  <c r="L22" i="3"/>
  <c r="L20" i="3"/>
  <c r="L19" i="3"/>
  <c r="L18" i="3"/>
  <c r="L17" i="3"/>
  <c r="J32" i="3"/>
  <c r="J31" i="3"/>
  <c r="J27" i="3"/>
  <c r="J26" i="3"/>
  <c r="J25" i="3"/>
  <c r="J23" i="3"/>
  <c r="J22" i="3"/>
  <c r="J20" i="3"/>
  <c r="J19" i="3"/>
  <c r="J18" i="3"/>
  <c r="J17" i="3"/>
  <c r="R32" i="3"/>
  <c r="S32" i="3" s="1"/>
  <c r="R31" i="3"/>
  <c r="R30" i="3"/>
  <c r="R29" i="3"/>
  <c r="R27" i="3"/>
  <c r="W27" i="3" s="1"/>
  <c r="R26" i="3"/>
  <c r="S26" i="3" s="1"/>
  <c r="R25" i="3"/>
  <c r="S25" i="3" s="1"/>
  <c r="R23" i="3"/>
  <c r="U23" i="3" s="1"/>
  <c r="W23" i="3" s="1"/>
  <c r="R22" i="3"/>
  <c r="S22" i="3" s="1"/>
  <c r="Y22" i="3" s="1"/>
  <c r="R20" i="3"/>
  <c r="S20" i="3" s="1"/>
  <c r="AA20" i="3" s="1"/>
  <c r="R19" i="3"/>
  <c r="S19" i="3" s="1"/>
  <c r="R18" i="3"/>
  <c r="S18" i="3" s="1"/>
  <c r="Y18" i="3" s="1"/>
  <c r="R17" i="3"/>
  <c r="S17" i="3" s="1"/>
  <c r="Y17" i="3" s="1"/>
  <c r="L14" i="3"/>
  <c r="L13" i="3"/>
  <c r="L12" i="3"/>
  <c r="J14" i="3"/>
  <c r="J13" i="3"/>
  <c r="J12" i="3"/>
  <c r="L8" i="2"/>
  <c r="L8" i="3"/>
  <c r="L7" i="3"/>
  <c r="L9" i="3"/>
  <c r="L10" i="3"/>
  <c r="J7" i="3"/>
  <c r="J8" i="3"/>
  <c r="J9" i="3"/>
  <c r="J10" i="3"/>
  <c r="J6" i="3"/>
  <c r="R14" i="3"/>
  <c r="U14" i="3" s="1"/>
  <c r="W14" i="3" s="1"/>
  <c r="R13" i="3"/>
  <c r="S13" i="3" s="1"/>
  <c r="Y13" i="3" s="1"/>
  <c r="R12" i="3"/>
  <c r="S12" i="3" s="1"/>
  <c r="Y12" i="3" s="1"/>
  <c r="R6" i="2"/>
  <c r="U6" i="2" s="1"/>
  <c r="W6" i="2" s="1"/>
  <c r="R7" i="3"/>
  <c r="S7" i="3" s="1"/>
  <c r="Y7" i="3" s="1"/>
  <c r="R8" i="3"/>
  <c r="U8" i="3" s="1"/>
  <c r="W8" i="3" s="1"/>
  <c r="R9" i="3"/>
  <c r="W9" i="3" s="1"/>
  <c r="R10" i="3"/>
  <c r="U10" i="3" s="1"/>
  <c r="W10" i="3" s="1"/>
  <c r="R6" i="3"/>
  <c r="R191" i="2"/>
  <c r="S191" i="2" s="1"/>
  <c r="Y191" i="2" s="1"/>
  <c r="R205" i="2"/>
  <c r="R204" i="2"/>
  <c r="U204" i="2" s="1"/>
  <c r="W204" i="2" s="1"/>
  <c r="R202" i="2"/>
  <c r="R201" i="2"/>
  <c r="U201" i="2" s="1"/>
  <c r="W201" i="2" s="1"/>
  <c r="R200" i="2"/>
  <c r="U200" i="2" s="1"/>
  <c r="R199" i="2"/>
  <c r="S199" i="2" s="1"/>
  <c r="Y199" i="2" s="1"/>
  <c r="R197" i="2"/>
  <c r="S197" i="2" s="1"/>
  <c r="Y197" i="2" s="1"/>
  <c r="R196" i="2"/>
  <c r="S196" i="2" s="1"/>
  <c r="Y196" i="2" s="1"/>
  <c r="R195" i="2"/>
  <c r="S195" i="2" s="1"/>
  <c r="Y195" i="2" s="1"/>
  <c r="R194" i="2"/>
  <c r="U194" i="2" s="1"/>
  <c r="L205" i="2"/>
  <c r="L204" i="2"/>
  <c r="L201" i="2"/>
  <c r="L199" i="2"/>
  <c r="L196" i="2"/>
  <c r="L195" i="2"/>
  <c r="L194" i="2"/>
  <c r="J205" i="2"/>
  <c r="J204" i="2"/>
  <c r="J201" i="2"/>
  <c r="J199" i="2"/>
  <c r="J196" i="2"/>
  <c r="J195" i="2"/>
  <c r="J194" i="2"/>
  <c r="T187" i="2"/>
  <c r="R190" i="2"/>
  <c r="S190" i="2" s="1"/>
  <c r="Y190" i="2" s="1"/>
  <c r="S189" i="2"/>
  <c r="R188" i="2"/>
  <c r="S188" i="2" s="1"/>
  <c r="Y188" i="2" s="1"/>
  <c r="S186" i="2"/>
  <c r="Y186" i="2" s="1"/>
  <c r="S185" i="2"/>
  <c r="Y185" i="2" s="1"/>
  <c r="S183" i="2"/>
  <c r="Y183" i="2" s="1"/>
  <c r="R181" i="2"/>
  <c r="S181" i="2" s="1"/>
  <c r="S180" i="2"/>
  <c r="Y180" i="2" s="1"/>
  <c r="R179" i="2"/>
  <c r="R178" i="2"/>
  <c r="S177" i="2"/>
  <c r="Y177" i="2" s="1"/>
  <c r="R175" i="2"/>
  <c r="S175" i="2" s="1"/>
  <c r="Y175" i="2" s="1"/>
  <c r="S174" i="2"/>
  <c r="Y174" i="2" s="1"/>
  <c r="R172" i="2"/>
  <c r="S172" i="2" s="1"/>
  <c r="Y172" i="2" s="1"/>
  <c r="R171" i="2"/>
  <c r="S171" i="2" s="1"/>
  <c r="Y171" i="2" s="1"/>
  <c r="R169" i="2"/>
  <c r="S169" i="2" s="1"/>
  <c r="Y169" i="2" s="1"/>
  <c r="R168" i="2"/>
  <c r="S168" i="2" s="1"/>
  <c r="Y168" i="2" s="1"/>
  <c r="R167" i="2"/>
  <c r="S167" i="2" s="1"/>
  <c r="Y167" i="2" s="1"/>
  <c r="R166" i="2"/>
  <c r="U166" i="2" s="1"/>
  <c r="L191" i="2"/>
  <c r="L190" i="2"/>
  <c r="L189" i="2"/>
  <c r="L188" i="2"/>
  <c r="L186" i="2"/>
  <c r="L185" i="2"/>
  <c r="L183" i="2"/>
  <c r="L182" i="2" s="1"/>
  <c r="H85" i="8" s="1"/>
  <c r="L181" i="2"/>
  <c r="L180" i="2"/>
  <c r="L179" i="2"/>
  <c r="L177" i="2"/>
  <c r="L175" i="2"/>
  <c r="L174" i="2"/>
  <c r="L172" i="2"/>
  <c r="L171" i="2"/>
  <c r="J191" i="2"/>
  <c r="J190" i="2"/>
  <c r="J189" i="2"/>
  <c r="J188" i="2"/>
  <c r="J186" i="2"/>
  <c r="J185" i="2"/>
  <c r="J183" i="2"/>
  <c r="J182" i="2" s="1"/>
  <c r="E85" i="8" s="1"/>
  <c r="J181" i="2"/>
  <c r="J180" i="2"/>
  <c r="J179" i="2"/>
  <c r="J175" i="2"/>
  <c r="J174" i="2"/>
  <c r="J172" i="2"/>
  <c r="J171" i="2"/>
  <c r="L169" i="2"/>
  <c r="L168" i="2"/>
  <c r="L167" i="2"/>
  <c r="J169" i="2"/>
  <c r="J168" i="2"/>
  <c r="J167" i="2"/>
  <c r="J166" i="2"/>
  <c r="Y34" i="3" l="1"/>
  <c r="Y105" i="4"/>
  <c r="K150" i="8" s="1"/>
  <c r="AA78" i="4"/>
  <c r="AA77" i="4" s="1"/>
  <c r="M141" i="8" s="1"/>
  <c r="Z122" i="4"/>
  <c r="Z121" i="4" s="1"/>
  <c r="X121" i="4"/>
  <c r="S47" i="3"/>
  <c r="Y47" i="3" s="1"/>
  <c r="U47" i="3"/>
  <c r="I160" i="8"/>
  <c r="I159" i="8" s="1"/>
  <c r="U167" i="4"/>
  <c r="S178" i="2"/>
  <c r="U178" i="2"/>
  <c r="W178" i="2" s="1"/>
  <c r="S179" i="2"/>
  <c r="Y179" i="2" s="1"/>
  <c r="U179" i="2"/>
  <c r="W179" i="2" s="1"/>
  <c r="Y59" i="3"/>
  <c r="AA61" i="3"/>
  <c r="AA63" i="3"/>
  <c r="AA37" i="5"/>
  <c r="AA135" i="5"/>
  <c r="AA134" i="5" s="1"/>
  <c r="M196" i="8" s="1"/>
  <c r="U5" i="5"/>
  <c r="I163" i="8" s="1"/>
  <c r="Y7" i="5"/>
  <c r="AA22" i="4"/>
  <c r="M126" i="8" s="1"/>
  <c r="Y83" i="4"/>
  <c r="AA21" i="4"/>
  <c r="E169" i="8"/>
  <c r="J17" i="5"/>
  <c r="E167" i="8"/>
  <c r="W20" i="5"/>
  <c r="U18" i="5"/>
  <c r="I167" i="8" s="1"/>
  <c r="AA41" i="5"/>
  <c r="AA40" i="5" s="1"/>
  <c r="M173" i="8" s="1"/>
  <c r="Y40" i="5"/>
  <c r="K173" i="8" s="1"/>
  <c r="AA18" i="5"/>
  <c r="Y58" i="5"/>
  <c r="K179" i="8" s="1"/>
  <c r="AA5" i="6"/>
  <c r="AA31" i="6"/>
  <c r="AA59" i="5"/>
  <c r="AA58" i="5" s="1"/>
  <c r="M179" i="8" s="1"/>
  <c r="Y36" i="5"/>
  <c r="K172" i="8" s="1"/>
  <c r="AA9" i="5"/>
  <c r="M164" i="8" s="1"/>
  <c r="I173" i="8"/>
  <c r="W41" i="5"/>
  <c r="W40" i="5" s="1"/>
  <c r="AA42" i="3"/>
  <c r="AA14" i="6"/>
  <c r="M201" i="8" s="1"/>
  <c r="S50" i="3"/>
  <c r="Y50" i="3" s="1"/>
  <c r="W50" i="3"/>
  <c r="AA39" i="5"/>
  <c r="K157" i="8"/>
  <c r="AA156" i="4"/>
  <c r="AA150" i="4" s="1"/>
  <c r="M157" i="8" s="1"/>
  <c r="Y36" i="4"/>
  <c r="AA36" i="4" s="1"/>
  <c r="AA20" i="4"/>
  <c r="AA26" i="6"/>
  <c r="Y126" i="3"/>
  <c r="Y125" i="3" s="1"/>
  <c r="S205" i="2"/>
  <c r="Y205" i="2" s="1"/>
  <c r="W205" i="2"/>
  <c r="W203" i="2" s="1"/>
  <c r="AA196" i="2"/>
  <c r="AA112" i="3"/>
  <c r="Y56" i="3"/>
  <c r="S29" i="3"/>
  <c r="Y29" i="3" s="1"/>
  <c r="U29" i="3"/>
  <c r="W29" i="3" s="1"/>
  <c r="S30" i="3"/>
  <c r="Y30" i="3" s="1"/>
  <c r="AA30" i="3" s="1"/>
  <c r="U30" i="3"/>
  <c r="W30" i="3" s="1"/>
  <c r="AA131" i="3"/>
  <c r="AA169" i="4"/>
  <c r="AA168" i="4" s="1"/>
  <c r="AA167" i="4" s="1"/>
  <c r="M159" i="8" s="1"/>
  <c r="Y168" i="4"/>
  <c r="K160" i="8" s="1"/>
  <c r="K159" i="8" s="1"/>
  <c r="AA105" i="5"/>
  <c r="M190" i="8" s="1"/>
  <c r="AA26" i="5"/>
  <c r="M169" i="8" s="1"/>
  <c r="AA88" i="5"/>
  <c r="AA131" i="5"/>
  <c r="M195" i="8" s="1"/>
  <c r="AA12" i="5"/>
  <c r="M165" i="8" s="1"/>
  <c r="AA89" i="5"/>
  <c r="AA116" i="5"/>
  <c r="M193" i="8" s="1"/>
  <c r="AA61" i="5"/>
  <c r="M180" i="8" s="1"/>
  <c r="AA43" i="5"/>
  <c r="M174" i="8" s="1"/>
  <c r="W107" i="5"/>
  <c r="U105" i="5"/>
  <c r="I190" i="8" s="1"/>
  <c r="AA99" i="5"/>
  <c r="M189" i="8" s="1"/>
  <c r="S200" i="2"/>
  <c r="AA52" i="3"/>
  <c r="AA51" i="3"/>
  <c r="AA49" i="3"/>
  <c r="AA48" i="3"/>
  <c r="AA39" i="3"/>
  <c r="AA38" i="3"/>
  <c r="AA37" i="3"/>
  <c r="AA18" i="3"/>
  <c r="AA17" i="3"/>
  <c r="AA13" i="3"/>
  <c r="AA12" i="3"/>
  <c r="AA7" i="3"/>
  <c r="AA54" i="5"/>
  <c r="AA49" i="5" s="1"/>
  <c r="M176" i="8" s="1"/>
  <c r="W169" i="4"/>
  <c r="W168" i="4" s="1"/>
  <c r="W167" i="4" s="1"/>
  <c r="H167" i="4" s="1"/>
  <c r="AA90" i="3"/>
  <c r="AA89" i="3"/>
  <c r="AA88" i="3"/>
  <c r="AA80" i="5"/>
  <c r="AA49" i="6"/>
  <c r="AA50" i="6"/>
  <c r="Y45" i="6"/>
  <c r="AA191" i="2"/>
  <c r="AA190" i="2"/>
  <c r="AA189" i="2"/>
  <c r="AA186" i="2"/>
  <c r="AA183" i="2"/>
  <c r="AA182" i="2" s="1"/>
  <c r="M85" i="8" s="1"/>
  <c r="Y181" i="2"/>
  <c r="AA181" i="2" s="1"/>
  <c r="W181" i="2"/>
  <c r="AA180" i="2"/>
  <c r="AA177" i="2"/>
  <c r="AA175" i="2"/>
  <c r="AA172" i="2"/>
  <c r="AA169" i="2"/>
  <c r="AA168" i="2"/>
  <c r="AA167" i="2"/>
  <c r="AA144" i="4"/>
  <c r="M156" i="8" s="1"/>
  <c r="AA134" i="4"/>
  <c r="AA67" i="4"/>
  <c r="AA68" i="4"/>
  <c r="AA109" i="4"/>
  <c r="M151" i="8" s="1"/>
  <c r="AA72" i="4"/>
  <c r="AA69" i="4" s="1"/>
  <c r="M139" i="8" s="1"/>
  <c r="AA46" i="4"/>
  <c r="M132" i="8" s="1"/>
  <c r="AA13" i="4"/>
  <c r="AA87" i="4"/>
  <c r="AA14" i="4"/>
  <c r="AA50" i="4"/>
  <c r="M133" i="8" s="1"/>
  <c r="AA141" i="4"/>
  <c r="K145" i="8"/>
  <c r="AA18" i="4"/>
  <c r="AA84" i="4"/>
  <c r="AA99" i="3"/>
  <c r="AA98" i="3"/>
  <c r="AA95" i="3"/>
  <c r="AA94" i="3"/>
  <c r="AA93" i="3"/>
  <c r="AA92" i="3"/>
  <c r="AA85" i="3"/>
  <c r="AA84" i="3"/>
  <c r="AA82" i="3"/>
  <c r="AA81" i="3"/>
  <c r="AA80" i="3"/>
  <c r="AA79" i="3"/>
  <c r="AA78" i="3"/>
  <c r="AA77" i="3"/>
  <c r="AA76" i="3"/>
  <c r="AA75" i="3"/>
  <c r="AA74" i="3"/>
  <c r="AA72" i="3"/>
  <c r="AA70" i="3"/>
  <c r="AA48" i="6"/>
  <c r="Y47" i="6"/>
  <c r="AA51" i="6"/>
  <c r="AA121" i="3"/>
  <c r="AA114" i="3"/>
  <c r="AA111" i="3"/>
  <c r="AA106" i="3"/>
  <c r="AA105" i="3"/>
  <c r="AA104" i="3"/>
  <c r="AA103" i="3"/>
  <c r="AA102" i="3"/>
  <c r="AA62" i="3"/>
  <c r="AA60" i="3"/>
  <c r="AA58" i="3"/>
  <c r="AA57" i="3"/>
  <c r="AA55" i="3"/>
  <c r="AA199" i="2"/>
  <c r="AA197" i="2"/>
  <c r="AA195" i="2"/>
  <c r="J40" i="3"/>
  <c r="E103" i="8" s="1"/>
  <c r="L40" i="3"/>
  <c r="H103" i="8" s="1"/>
  <c r="U47" i="6"/>
  <c r="I206" i="8" s="1"/>
  <c r="AA68" i="5"/>
  <c r="M182" i="8" s="1"/>
  <c r="AA74" i="5"/>
  <c r="M183" i="8" s="1"/>
  <c r="AA139" i="5"/>
  <c r="M197" i="8" s="1"/>
  <c r="Y110" i="5"/>
  <c r="AA115" i="5"/>
  <c r="AA110" i="5" s="1"/>
  <c r="AA94" i="5"/>
  <c r="M188" i="8" s="1"/>
  <c r="W9" i="5"/>
  <c r="M181" i="8"/>
  <c r="AA32" i="5"/>
  <c r="M171" i="8" s="1"/>
  <c r="AA23" i="5"/>
  <c r="M168" i="8" s="1"/>
  <c r="AA92" i="5"/>
  <c r="M187" i="8" s="1"/>
  <c r="AA55" i="5"/>
  <c r="K167" i="8"/>
  <c r="U98" i="4"/>
  <c r="Y100" i="4"/>
  <c r="K149" i="8" s="1"/>
  <c r="AA102" i="4"/>
  <c r="AA100" i="4" s="1"/>
  <c r="M149" i="8" s="1"/>
  <c r="AA61" i="4"/>
  <c r="M137" i="8" s="1"/>
  <c r="AA57" i="4"/>
  <c r="M135" i="8" s="1"/>
  <c r="AA105" i="4"/>
  <c r="M150" i="8" s="1"/>
  <c r="AA53" i="4"/>
  <c r="M134" i="8" s="1"/>
  <c r="AA98" i="4"/>
  <c r="Z110" i="4"/>
  <c r="Z109" i="4" s="1"/>
  <c r="X109" i="4"/>
  <c r="K151" i="8" s="1"/>
  <c r="AA27" i="4"/>
  <c r="M128" i="8" s="1"/>
  <c r="Y66" i="3"/>
  <c r="Y32" i="3"/>
  <c r="Y40" i="3"/>
  <c r="K103" i="8" s="1"/>
  <c r="M170" i="8"/>
  <c r="J48" i="5"/>
  <c r="E178" i="8"/>
  <c r="J57" i="5"/>
  <c r="U74" i="5"/>
  <c r="I183" i="8" s="1"/>
  <c r="W5" i="5"/>
  <c r="W74" i="5"/>
  <c r="W12" i="5"/>
  <c r="W131" i="5"/>
  <c r="W32" i="5"/>
  <c r="W61" i="5"/>
  <c r="U91" i="4"/>
  <c r="I145" i="8" s="1"/>
  <c r="J203" i="2"/>
  <c r="E91" i="8" s="1"/>
  <c r="U22" i="6"/>
  <c r="I202" i="8" s="1"/>
  <c r="H203" i="8"/>
  <c r="W94" i="5"/>
  <c r="U110" i="5"/>
  <c r="I192" i="8" s="1"/>
  <c r="U9" i="5"/>
  <c r="I164" i="8" s="1"/>
  <c r="W78" i="5"/>
  <c r="U61" i="5"/>
  <c r="I180" i="8" s="1"/>
  <c r="U32" i="5"/>
  <c r="I171" i="8" s="1"/>
  <c r="Y49" i="5"/>
  <c r="W26" i="5"/>
  <c r="L4" i="5"/>
  <c r="U94" i="5"/>
  <c r="I188" i="8" s="1"/>
  <c r="H162" i="8"/>
  <c r="U12" i="5"/>
  <c r="I165" i="8" s="1"/>
  <c r="W56" i="5"/>
  <c r="W55" i="5" s="1"/>
  <c r="W116" i="5"/>
  <c r="E162" i="8"/>
  <c r="H143" i="8"/>
  <c r="W78" i="4"/>
  <c r="W77" i="4" s="1"/>
  <c r="J82" i="4"/>
  <c r="J184" i="2"/>
  <c r="E86" i="8" s="1"/>
  <c r="U172" i="2"/>
  <c r="W172" i="2" s="1"/>
  <c r="X69" i="4"/>
  <c r="W22" i="4"/>
  <c r="X57" i="4"/>
  <c r="Z70" i="4"/>
  <c r="Z69" i="4" s="1"/>
  <c r="Z22" i="4"/>
  <c r="J28" i="3"/>
  <c r="E100" i="8" s="1"/>
  <c r="S8" i="3"/>
  <c r="Y8" i="3" s="1"/>
  <c r="L203" i="2"/>
  <c r="H91" i="8" s="1"/>
  <c r="L165" i="2"/>
  <c r="H81" i="8" s="1"/>
  <c r="J193" i="2"/>
  <c r="E89" i="8" s="1"/>
  <c r="J170" i="2"/>
  <c r="E82" i="8" s="1"/>
  <c r="J91" i="3"/>
  <c r="E114" i="8" s="1"/>
  <c r="J68" i="3"/>
  <c r="E111" i="8" s="1"/>
  <c r="Z144" i="4"/>
  <c r="U169" i="2"/>
  <c r="W169" i="2" s="1"/>
  <c r="W138" i="5"/>
  <c r="W134" i="5" s="1"/>
  <c r="U134" i="5"/>
  <c r="I196" i="8" s="1"/>
  <c r="J173" i="2"/>
  <c r="E83" i="8" s="1"/>
  <c r="J187" i="2"/>
  <c r="E87" i="8" s="1"/>
  <c r="U175" i="2"/>
  <c r="W175" i="2" s="1"/>
  <c r="S204" i="2"/>
  <c r="Y204" i="2" s="1"/>
  <c r="S127" i="3"/>
  <c r="W127" i="3"/>
  <c r="X100" i="4"/>
  <c r="L26" i="4"/>
  <c r="AA127" i="5"/>
  <c r="U26" i="5"/>
  <c r="I169" i="8" s="1"/>
  <c r="W43" i="6"/>
  <c r="W40" i="6" s="1"/>
  <c r="U40" i="6"/>
  <c r="I205" i="8" s="1"/>
  <c r="W186" i="2"/>
  <c r="U196" i="2"/>
  <c r="W196" i="2" s="1"/>
  <c r="S6" i="2"/>
  <c r="X22" i="4"/>
  <c r="J4" i="5"/>
  <c r="L48" i="5"/>
  <c r="E184" i="8"/>
  <c r="U183" i="2"/>
  <c r="W183" i="2" s="1"/>
  <c r="W182" i="2" s="1"/>
  <c r="U190" i="2"/>
  <c r="W190" i="2" s="1"/>
  <c r="S201" i="2"/>
  <c r="Y201" i="2" s="1"/>
  <c r="U199" i="2"/>
  <c r="W199" i="2" s="1"/>
  <c r="S10" i="3"/>
  <c r="Y10" i="3" s="1"/>
  <c r="U98" i="3"/>
  <c r="W98" i="3" s="1"/>
  <c r="Z78" i="4"/>
  <c r="Z77" i="4" s="1"/>
  <c r="V22" i="4"/>
  <c r="U116" i="5"/>
  <c r="I193" i="8" s="1"/>
  <c r="U78" i="5"/>
  <c r="I185" i="8" s="1"/>
  <c r="W69" i="4"/>
  <c r="W24" i="5"/>
  <c r="W23" i="5" s="1"/>
  <c r="U23" i="5"/>
  <c r="I168" i="8" s="1"/>
  <c r="S202" i="2"/>
  <c r="Y202" i="2" s="1"/>
  <c r="U202" i="2"/>
  <c r="X83" i="4"/>
  <c r="U31" i="6"/>
  <c r="I204" i="8" s="1"/>
  <c r="W111" i="5"/>
  <c r="W110" i="5" s="1"/>
  <c r="W22" i="6"/>
  <c r="W17" i="6"/>
  <c r="W14" i="6" s="1"/>
  <c r="U14" i="6"/>
  <c r="I201" i="8" s="1"/>
  <c r="S128" i="3"/>
  <c r="W128" i="3"/>
  <c r="S9" i="3"/>
  <c r="Y9" i="3" s="1"/>
  <c r="AA25" i="3"/>
  <c r="Z101" i="4"/>
  <c r="U49" i="5"/>
  <c r="I176" i="8" s="1"/>
  <c r="I175" i="8" s="1"/>
  <c r="J30" i="6"/>
  <c r="L57" i="5"/>
  <c r="J97" i="4"/>
  <c r="H127" i="8"/>
  <c r="H199" i="8"/>
  <c r="E152" i="8"/>
  <c r="U83" i="4"/>
  <c r="I144" i="8" s="1"/>
  <c r="H124" i="8"/>
  <c r="U50" i="4"/>
  <c r="I133" i="8" s="1"/>
  <c r="W25" i="3"/>
  <c r="X140" i="4"/>
  <c r="Z64" i="4"/>
  <c r="X144" i="4"/>
  <c r="X91" i="4"/>
  <c r="X46" i="4"/>
  <c r="W50" i="4"/>
  <c r="X150" i="4"/>
  <c r="X79" i="4"/>
  <c r="X27" i="4"/>
  <c r="X64" i="4"/>
  <c r="W144" i="4"/>
  <c r="Z33" i="4"/>
  <c r="Z26" i="4" s="1"/>
  <c r="Z105" i="4"/>
  <c r="Z53" i="4"/>
  <c r="V33" i="4"/>
  <c r="V26" i="4" s="1"/>
  <c r="X105" i="4"/>
  <c r="X53" i="4"/>
  <c r="X5" i="4"/>
  <c r="Y5" i="4" s="1"/>
  <c r="Y4" i="4" s="1"/>
  <c r="E124" i="8"/>
  <c r="E127" i="8"/>
  <c r="Z140" i="4"/>
  <c r="Z153" i="4"/>
  <c r="Z150" i="4" s="1"/>
  <c r="Z104" i="4"/>
  <c r="V100" i="4"/>
  <c r="Z90" i="4"/>
  <c r="Z83" i="4" s="1"/>
  <c r="Z80" i="4"/>
  <c r="Z79" i="4" s="1"/>
  <c r="Z74" i="4"/>
  <c r="Z52" i="4"/>
  <c r="Z50" i="4" s="1"/>
  <c r="Z6" i="4"/>
  <c r="Z5" i="4" s="1"/>
  <c r="AA138" i="4"/>
  <c r="W62" i="4"/>
  <c r="W61" i="4" s="1"/>
  <c r="U61" i="4"/>
  <c r="I137" i="8" s="1"/>
  <c r="W151" i="4"/>
  <c r="W150" i="4" s="1"/>
  <c r="U150" i="4"/>
  <c r="I157" i="8" s="1"/>
  <c r="L97" i="4"/>
  <c r="Z137" i="4"/>
  <c r="Z136" i="4" s="1"/>
  <c r="Z96" i="4"/>
  <c r="Z95" i="4" s="1"/>
  <c r="Z92" i="4"/>
  <c r="Z91" i="4" s="1"/>
  <c r="X61" i="4"/>
  <c r="Y61" i="4" s="1"/>
  <c r="K137" i="8" s="1"/>
  <c r="Z47" i="4"/>
  <c r="Z46" i="4" s="1"/>
  <c r="X33" i="4"/>
  <c r="W6" i="4"/>
  <c r="W5" i="4" s="1"/>
  <c r="U5" i="4"/>
  <c r="I125" i="8" s="1"/>
  <c r="Y69" i="4"/>
  <c r="K139" i="8" s="1"/>
  <c r="U140" i="4"/>
  <c r="I155" i="8" s="1"/>
  <c r="U136" i="4"/>
  <c r="W137" i="4"/>
  <c r="W136" i="4" s="1"/>
  <c r="W121" i="4"/>
  <c r="U121" i="4"/>
  <c r="I152" i="8" s="1"/>
  <c r="AA92" i="4"/>
  <c r="Y142" i="4"/>
  <c r="K148" i="8"/>
  <c r="U73" i="4"/>
  <c r="I140" i="8" s="1"/>
  <c r="U53" i="4"/>
  <c r="I134" i="8" s="1"/>
  <c r="W54" i="4"/>
  <c r="W53" i="4" s="1"/>
  <c r="J26" i="4"/>
  <c r="W91" i="4"/>
  <c r="E144" i="8"/>
  <c r="E143" i="8" s="1"/>
  <c r="Y64" i="4"/>
  <c r="K138" i="8" s="1"/>
  <c r="U144" i="4"/>
  <c r="I156" i="8" s="1"/>
  <c r="H153" i="8"/>
  <c r="W47" i="4"/>
  <c r="W46" i="4" s="1"/>
  <c r="U46" i="4"/>
  <c r="I132" i="8" s="1"/>
  <c r="H178" i="8"/>
  <c r="J73" i="3"/>
  <c r="E112" i="8" s="1"/>
  <c r="U88" i="3"/>
  <c r="W88" i="3" s="1"/>
  <c r="J21" i="3"/>
  <c r="E98" i="8" s="1"/>
  <c r="L28" i="3"/>
  <c r="H100" i="8" s="1"/>
  <c r="L86" i="3"/>
  <c r="H113" i="8" s="1"/>
  <c r="U97" i="3"/>
  <c r="W97" i="3" s="1"/>
  <c r="AA119" i="3"/>
  <c r="W35" i="3"/>
  <c r="U89" i="3"/>
  <c r="W89" i="3" s="1"/>
  <c r="S23" i="3"/>
  <c r="J24" i="3"/>
  <c r="E99" i="8" s="1"/>
  <c r="U82" i="3"/>
  <c r="W82" i="3" s="1"/>
  <c r="J16" i="3"/>
  <c r="E97" i="8" s="1"/>
  <c r="J59" i="3"/>
  <c r="E108" i="8" s="1"/>
  <c r="U84" i="3"/>
  <c r="W84" i="3" s="1"/>
  <c r="U22" i="3"/>
  <c r="U21" i="3" s="1"/>
  <c r="I98" i="8" s="1"/>
  <c r="U75" i="3"/>
  <c r="W75" i="3" s="1"/>
  <c r="U114" i="3"/>
  <c r="W114" i="3" s="1"/>
  <c r="Y130" i="3"/>
  <c r="S31" i="3"/>
  <c r="L11" i="3"/>
  <c r="H95" i="8" s="1"/>
  <c r="U48" i="3"/>
  <c r="W48" i="3" s="1"/>
  <c r="U99" i="3"/>
  <c r="W99" i="3" s="1"/>
  <c r="U56" i="3"/>
  <c r="W56" i="3" s="1"/>
  <c r="U103" i="3"/>
  <c r="W103" i="3" s="1"/>
  <c r="J64" i="3"/>
  <c r="E109" i="8" s="1"/>
  <c r="L68" i="3"/>
  <c r="AA109" i="3"/>
  <c r="W115" i="3"/>
  <c r="AA44" i="6"/>
  <c r="W191" i="2"/>
  <c r="L187" i="2"/>
  <c r="H87" i="8" s="1"/>
  <c r="W189" i="2"/>
  <c r="AA188" i="2"/>
  <c r="Y187" i="2"/>
  <c r="K87" i="8" s="1"/>
  <c r="U188" i="2"/>
  <c r="AA185" i="2"/>
  <c r="Y184" i="2"/>
  <c r="K86" i="8" s="1"/>
  <c r="U185" i="2"/>
  <c r="L184" i="2"/>
  <c r="H86" i="8" s="1"/>
  <c r="Y182" i="2"/>
  <c r="K85" i="8" s="1"/>
  <c r="W180" i="2"/>
  <c r="U177" i="2"/>
  <c r="AA174" i="2"/>
  <c r="Y173" i="2"/>
  <c r="K83" i="8" s="1"/>
  <c r="U174" i="2"/>
  <c r="L173" i="2"/>
  <c r="H83" i="8" s="1"/>
  <c r="L170" i="2"/>
  <c r="H82" i="8" s="1"/>
  <c r="AA171" i="2"/>
  <c r="Y170" i="2"/>
  <c r="K82" i="8" s="1"/>
  <c r="U171" i="2"/>
  <c r="J165" i="2"/>
  <c r="E81" i="8" s="1"/>
  <c r="U168" i="2"/>
  <c r="W168" i="2" s="1"/>
  <c r="L21" i="3"/>
  <c r="H98" i="8" s="1"/>
  <c r="M146" i="8"/>
  <c r="L17" i="5"/>
  <c r="H171" i="8"/>
  <c r="H166" i="8" s="1"/>
  <c r="AA6" i="5"/>
  <c r="W31" i="5"/>
  <c r="W30" i="5" s="1"/>
  <c r="U30" i="5"/>
  <c r="I170" i="8" s="1"/>
  <c r="W36" i="5"/>
  <c r="U36" i="5"/>
  <c r="I172" i="8" s="1"/>
  <c r="W19" i="5"/>
  <c r="U132" i="3"/>
  <c r="AA132" i="3"/>
  <c r="L24" i="3"/>
  <c r="H99" i="8" s="1"/>
  <c r="L82" i="4"/>
  <c r="U90" i="3"/>
  <c r="W90" i="3" s="1"/>
  <c r="J86" i="3"/>
  <c r="E113" i="8" s="1"/>
  <c r="L96" i="3"/>
  <c r="H115" i="8" s="1"/>
  <c r="J96" i="3"/>
  <c r="E115" i="8" s="1"/>
  <c r="L91" i="3"/>
  <c r="H114" i="8" s="1"/>
  <c r="S83" i="3"/>
  <c r="Y83" i="3" s="1"/>
  <c r="W74" i="3"/>
  <c r="S71" i="3"/>
  <c r="Y71" i="3" s="1"/>
  <c r="U70" i="3"/>
  <c r="W70" i="3" s="1"/>
  <c r="AA69" i="3"/>
  <c r="U69" i="3"/>
  <c r="W69" i="3" s="1"/>
  <c r="H147" i="8"/>
  <c r="E203" i="8"/>
  <c r="U68" i="5"/>
  <c r="I182" i="8" s="1"/>
  <c r="W69" i="5"/>
  <c r="W68" i="5" s="1"/>
  <c r="W67" i="5"/>
  <c r="W66" i="5" s="1"/>
  <c r="U66" i="5"/>
  <c r="I181" i="8" s="1"/>
  <c r="W58" i="5"/>
  <c r="U58" i="5"/>
  <c r="I179" i="8" s="1"/>
  <c r="L135" i="4"/>
  <c r="W101" i="4"/>
  <c r="W100" i="4" s="1"/>
  <c r="U100" i="4"/>
  <c r="I149" i="8" s="1"/>
  <c r="H184" i="8"/>
  <c r="AA79" i="5"/>
  <c r="Y78" i="5"/>
  <c r="W85" i="5"/>
  <c r="U85" i="5"/>
  <c r="I186" i="8" s="1"/>
  <c r="E153" i="8"/>
  <c r="AA97" i="3"/>
  <c r="Y96" i="3"/>
  <c r="Y91" i="3"/>
  <c r="K114" i="8" s="1"/>
  <c r="AA41" i="3"/>
  <c r="AA87" i="3"/>
  <c r="Y86" i="3"/>
  <c r="K113" i="8" s="1"/>
  <c r="AA22" i="3"/>
  <c r="U38" i="3"/>
  <c r="W38" i="3" s="1"/>
  <c r="W32" i="3"/>
  <c r="U41" i="3"/>
  <c r="J54" i="3"/>
  <c r="E107" i="8" s="1"/>
  <c r="W65" i="3"/>
  <c r="U76" i="3"/>
  <c r="W76" i="3" s="1"/>
  <c r="U79" i="3"/>
  <c r="W79" i="3" s="1"/>
  <c r="U92" i="3"/>
  <c r="W116" i="3"/>
  <c r="Y43" i="3"/>
  <c r="K104" i="8" s="1"/>
  <c r="AA44" i="3"/>
  <c r="U87" i="3"/>
  <c r="J125" i="3"/>
  <c r="E121" i="8" s="1"/>
  <c r="E120" i="8" s="1"/>
  <c r="S27" i="3"/>
  <c r="Y27" i="3" s="1"/>
  <c r="U109" i="3"/>
  <c r="W109" i="3" s="1"/>
  <c r="U26" i="3"/>
  <c r="W26" i="3" s="1"/>
  <c r="W36" i="3"/>
  <c r="U95" i="3"/>
  <c r="W95" i="3" s="1"/>
  <c r="U80" i="3"/>
  <c r="W80" i="3" s="1"/>
  <c r="U42" i="3"/>
  <c r="W42" i="3" s="1"/>
  <c r="W72" i="3"/>
  <c r="U78" i="3"/>
  <c r="W78" i="3" s="1"/>
  <c r="U93" i="3"/>
  <c r="W93" i="3" s="1"/>
  <c r="U121" i="3"/>
  <c r="W121" i="3" s="1"/>
  <c r="U126" i="3"/>
  <c r="U108" i="3"/>
  <c r="W108" i="3" s="1"/>
  <c r="U81" i="3"/>
  <c r="W81" i="3" s="1"/>
  <c r="J5" i="3"/>
  <c r="U20" i="3"/>
  <c r="W20" i="3" s="1"/>
  <c r="U44" i="3"/>
  <c r="W44" i="3" s="1"/>
  <c r="W43" i="3" s="1"/>
  <c r="L46" i="3"/>
  <c r="H106" i="8" s="1"/>
  <c r="L73" i="3"/>
  <c r="H112" i="8" s="1"/>
  <c r="U77" i="3"/>
  <c r="W77" i="3" s="1"/>
  <c r="U85" i="3"/>
  <c r="W85" i="3" s="1"/>
  <c r="U94" i="3"/>
  <c r="W94" i="3" s="1"/>
  <c r="U102" i="3"/>
  <c r="W102" i="3" s="1"/>
  <c r="W106" i="5"/>
  <c r="U99" i="5"/>
  <c r="I189" i="8" s="1"/>
  <c r="W100" i="5"/>
  <c r="W99" i="5" s="1"/>
  <c r="J77" i="5"/>
  <c r="L77" i="5"/>
  <c r="U123" i="3"/>
  <c r="W123" i="3" s="1"/>
  <c r="U122" i="3"/>
  <c r="W122" i="3" s="1"/>
  <c r="J117" i="3"/>
  <c r="E119" i="8" s="1"/>
  <c r="U38" i="4"/>
  <c r="I131" i="8" s="1"/>
  <c r="W39" i="4"/>
  <c r="W38" i="4" s="1"/>
  <c r="U118" i="3"/>
  <c r="U119" i="3"/>
  <c r="W119" i="3" s="1"/>
  <c r="L117" i="3"/>
  <c r="H119" i="8" s="1"/>
  <c r="Y117" i="3"/>
  <c r="K119" i="8" s="1"/>
  <c r="L107" i="3"/>
  <c r="H118" i="8" s="1"/>
  <c r="J107" i="3"/>
  <c r="E118" i="8" s="1"/>
  <c r="U112" i="3"/>
  <c r="W112" i="3" s="1"/>
  <c r="U111" i="3"/>
  <c r="W111" i="3" s="1"/>
  <c r="W106" i="3"/>
  <c r="W105" i="3"/>
  <c r="J101" i="3"/>
  <c r="E117" i="8" s="1"/>
  <c r="Y101" i="3"/>
  <c r="U104" i="3"/>
  <c r="W104" i="3" s="1"/>
  <c r="L101" i="3"/>
  <c r="H117" i="8" s="1"/>
  <c r="L64" i="3"/>
  <c r="H109" i="8" s="1"/>
  <c r="U63" i="3"/>
  <c r="W63" i="3" s="1"/>
  <c r="U62" i="3"/>
  <c r="W62" i="3" s="1"/>
  <c r="L59" i="3"/>
  <c r="H108" i="8" s="1"/>
  <c r="U61" i="3"/>
  <c r="W61" i="3" s="1"/>
  <c r="U58" i="3"/>
  <c r="W58" i="3" s="1"/>
  <c r="U57" i="3"/>
  <c r="W57" i="3" s="1"/>
  <c r="L54" i="3"/>
  <c r="H107" i="8" s="1"/>
  <c r="U55" i="3"/>
  <c r="W200" i="2"/>
  <c r="U195" i="2"/>
  <c r="W195" i="2" s="1"/>
  <c r="L193" i="2"/>
  <c r="H89" i="8" s="1"/>
  <c r="W194" i="2"/>
  <c r="S194" i="2"/>
  <c r="Y194" i="2" s="1"/>
  <c r="L30" i="6"/>
  <c r="L4" i="6"/>
  <c r="E199" i="8"/>
  <c r="J4" i="6"/>
  <c r="W5" i="6"/>
  <c r="U5" i="6"/>
  <c r="I200" i="8" s="1"/>
  <c r="W73" i="4"/>
  <c r="U69" i="4"/>
  <c r="I139" i="8" s="1"/>
  <c r="W64" i="4"/>
  <c r="U64" i="4"/>
  <c r="I138" i="8" s="1"/>
  <c r="U131" i="5"/>
  <c r="I195" i="8" s="1"/>
  <c r="W123" i="5"/>
  <c r="U123" i="5"/>
  <c r="I194" i="8" s="1"/>
  <c r="J135" i="4"/>
  <c r="W35" i="4"/>
  <c r="W33" i="4" s="1"/>
  <c r="U33" i="4"/>
  <c r="I129" i="8" s="1"/>
  <c r="K128" i="8"/>
  <c r="U27" i="4"/>
  <c r="I128" i="8" s="1"/>
  <c r="W28" i="4"/>
  <c r="W27" i="4" s="1"/>
  <c r="L4" i="4"/>
  <c r="J4" i="4"/>
  <c r="U43" i="5"/>
  <c r="I174" i="8" s="1"/>
  <c r="W44" i="5"/>
  <c r="W43" i="5" s="1"/>
  <c r="E151" i="8"/>
  <c r="W110" i="4"/>
  <c r="W109" i="4" s="1"/>
  <c r="U109" i="4"/>
  <c r="I151" i="8" s="1"/>
  <c r="U52" i="3"/>
  <c r="W52" i="3" s="1"/>
  <c r="U51" i="3"/>
  <c r="W51" i="3" s="1"/>
  <c r="J46" i="3"/>
  <c r="E106" i="8" s="1"/>
  <c r="W49" i="3"/>
  <c r="U39" i="3"/>
  <c r="W39" i="3" s="1"/>
  <c r="J34" i="3"/>
  <c r="L34" i="3"/>
  <c r="H102" i="8" s="1"/>
  <c r="W37" i="3"/>
  <c r="Y16" i="3"/>
  <c r="U19" i="3"/>
  <c r="W19" i="3" s="1"/>
  <c r="L16" i="3"/>
  <c r="H97" i="8" s="1"/>
  <c r="U18" i="3"/>
  <c r="W18" i="3" s="1"/>
  <c r="U17" i="3"/>
  <c r="J11" i="3"/>
  <c r="E95" i="8" s="1"/>
  <c r="U7" i="3"/>
  <c r="W7" i="3" s="1"/>
  <c r="L5" i="3"/>
  <c r="H94" i="8" s="1"/>
  <c r="S6" i="3"/>
  <c r="Y6" i="3" s="1"/>
  <c r="W6" i="3"/>
  <c r="W140" i="5"/>
  <c r="W139" i="5" s="1"/>
  <c r="U139" i="5"/>
  <c r="I197" i="8" s="1"/>
  <c r="W50" i="5"/>
  <c r="W49" i="5" s="1"/>
  <c r="W80" i="4"/>
  <c r="W79" i="4" s="1"/>
  <c r="U79" i="4"/>
  <c r="I142" i="8" s="1"/>
  <c r="U57" i="4"/>
  <c r="I135" i="8" s="1"/>
  <c r="W58" i="4"/>
  <c r="W57" i="4" s="1"/>
  <c r="U22" i="4"/>
  <c r="I126" i="8" s="1"/>
  <c r="L125" i="3"/>
  <c r="H121" i="8" s="1"/>
  <c r="H120" i="8" s="1"/>
  <c r="W66" i="3"/>
  <c r="W31" i="6"/>
  <c r="W96" i="4"/>
  <c r="W95" i="4" s="1"/>
  <c r="U95" i="4"/>
  <c r="W83" i="4"/>
  <c r="U12" i="3"/>
  <c r="U13" i="3"/>
  <c r="W13" i="3" s="1"/>
  <c r="S14" i="3"/>
  <c r="W166" i="2"/>
  <c r="S166" i="2"/>
  <c r="U167" i="2"/>
  <c r="Z160" i="2"/>
  <c r="L163" i="2"/>
  <c r="L161" i="2"/>
  <c r="R163" i="2"/>
  <c r="U163" i="2" s="1"/>
  <c r="W163" i="2" s="1"/>
  <c r="R162" i="2"/>
  <c r="S162" i="2" s="1"/>
  <c r="R161" i="2"/>
  <c r="S161" i="2" s="1"/>
  <c r="Y161" i="2" s="1"/>
  <c r="R159" i="2"/>
  <c r="U159" i="2" s="1"/>
  <c r="W159" i="2" s="1"/>
  <c r="R158" i="2"/>
  <c r="S158" i="2" s="1"/>
  <c r="Y158" i="2" s="1"/>
  <c r="R157" i="2"/>
  <c r="S157" i="2" s="1"/>
  <c r="Y157" i="2" s="1"/>
  <c r="R156" i="2"/>
  <c r="S156" i="2" s="1"/>
  <c r="Y156" i="2" s="1"/>
  <c r="R155" i="2"/>
  <c r="S155" i="2" s="1"/>
  <c r="Y155" i="2" s="1"/>
  <c r="R153" i="2"/>
  <c r="S153" i="2" s="1"/>
  <c r="Y153" i="2" s="1"/>
  <c r="R152" i="2"/>
  <c r="S152" i="2" s="1"/>
  <c r="Y152" i="2" s="1"/>
  <c r="R151" i="2"/>
  <c r="S151" i="2" s="1"/>
  <c r="R150" i="2"/>
  <c r="S150" i="2" s="1"/>
  <c r="Y150" i="2" s="1"/>
  <c r="R149" i="2"/>
  <c r="S149" i="2" s="1"/>
  <c r="Y149" i="2" s="1"/>
  <c r="R147" i="2"/>
  <c r="U147" i="2" s="1"/>
  <c r="R146" i="2"/>
  <c r="L159" i="2"/>
  <c r="L158" i="2"/>
  <c r="L157" i="2"/>
  <c r="L156" i="2"/>
  <c r="L155" i="2"/>
  <c r="L153" i="2"/>
  <c r="L152" i="2"/>
  <c r="L151" i="2"/>
  <c r="L150" i="2"/>
  <c r="L149" i="2"/>
  <c r="L147" i="2"/>
  <c r="L146" i="2"/>
  <c r="L144" i="2"/>
  <c r="L143" i="2"/>
  <c r="L142" i="2"/>
  <c r="L141" i="2"/>
  <c r="J163" i="2"/>
  <c r="J161" i="2"/>
  <c r="J159" i="2"/>
  <c r="J158" i="2"/>
  <c r="J157" i="2"/>
  <c r="J156" i="2"/>
  <c r="J155" i="2"/>
  <c r="J153" i="2"/>
  <c r="J152" i="2"/>
  <c r="J151" i="2"/>
  <c r="J150" i="2"/>
  <c r="J149" i="2"/>
  <c r="J147" i="2"/>
  <c r="J146" i="2"/>
  <c r="J144" i="2"/>
  <c r="J143" i="2"/>
  <c r="J142" i="2"/>
  <c r="J141" i="2"/>
  <c r="R144" i="2"/>
  <c r="S144" i="2" s="1"/>
  <c r="Y144" i="2" s="1"/>
  <c r="R143" i="2"/>
  <c r="S143" i="2" s="1"/>
  <c r="R142" i="2"/>
  <c r="R141" i="2"/>
  <c r="S141" i="2" s="1"/>
  <c r="W133" i="2"/>
  <c r="R139" i="2"/>
  <c r="Y139" i="2" s="1"/>
  <c r="R138" i="2"/>
  <c r="S138" i="2" s="1"/>
  <c r="Y138" i="2" s="1"/>
  <c r="R137" i="2"/>
  <c r="R136" i="2"/>
  <c r="S136" i="2" s="1"/>
  <c r="Y136" i="2" s="1"/>
  <c r="R135" i="2"/>
  <c r="S135" i="2" s="1"/>
  <c r="Y135" i="2" s="1"/>
  <c r="R134" i="2"/>
  <c r="R133" i="2"/>
  <c r="R132" i="2"/>
  <c r="S132" i="2" s="1"/>
  <c r="Y132" i="2" s="1"/>
  <c r="L139" i="2"/>
  <c r="L138" i="2"/>
  <c r="L137" i="2"/>
  <c r="L136" i="2"/>
  <c r="L135" i="2"/>
  <c r="L134" i="2"/>
  <c r="L133" i="2"/>
  <c r="L132" i="2"/>
  <c r="J139" i="2"/>
  <c r="J138" i="2"/>
  <c r="J137" i="2"/>
  <c r="J136" i="2"/>
  <c r="J135" i="2"/>
  <c r="J134" i="2"/>
  <c r="J133" i="2"/>
  <c r="J132" i="2"/>
  <c r="R129" i="2"/>
  <c r="S129" i="2" s="1"/>
  <c r="Y129" i="2" s="1"/>
  <c r="R128" i="2"/>
  <c r="S128" i="2" s="1"/>
  <c r="Y128" i="2" s="1"/>
  <c r="R127" i="2"/>
  <c r="U127" i="2" s="1"/>
  <c r="R125" i="2"/>
  <c r="S125" i="2" s="1"/>
  <c r="Y125" i="2" s="1"/>
  <c r="R123" i="2"/>
  <c r="U123" i="2" s="1"/>
  <c r="U122" i="2" s="1"/>
  <c r="I70" i="8" s="1"/>
  <c r="R121" i="2"/>
  <c r="S121" i="2" s="1"/>
  <c r="Y121" i="2" s="1"/>
  <c r="L129" i="2"/>
  <c r="L128" i="2"/>
  <c r="L127" i="2"/>
  <c r="L125" i="2"/>
  <c r="L124" i="2" s="1"/>
  <c r="H71" i="8" s="1"/>
  <c r="L123" i="2"/>
  <c r="L122" i="2" s="1"/>
  <c r="H70" i="8" s="1"/>
  <c r="L121" i="2"/>
  <c r="L120" i="2" s="1"/>
  <c r="H69" i="8" s="1"/>
  <c r="J129" i="2"/>
  <c r="J128" i="2"/>
  <c r="J127" i="2"/>
  <c r="J125" i="2"/>
  <c r="J124" i="2" s="1"/>
  <c r="E71" i="8" s="1"/>
  <c r="J123" i="2"/>
  <c r="J122" i="2" s="1"/>
  <c r="E70" i="8" s="1"/>
  <c r="J120" i="2"/>
  <c r="E69" i="8" s="1"/>
  <c r="R118" i="2"/>
  <c r="S118" i="2" s="1"/>
  <c r="R117" i="2"/>
  <c r="U117" i="2" s="1"/>
  <c r="W117" i="2" s="1"/>
  <c r="R116" i="2"/>
  <c r="U116" i="2" s="1"/>
  <c r="W116" i="2" s="1"/>
  <c r="R115" i="2"/>
  <c r="S115" i="2" s="1"/>
  <c r="R114" i="2"/>
  <c r="S114" i="2" s="1"/>
  <c r="Y114" i="2" s="1"/>
  <c r="R113" i="2"/>
  <c r="S113" i="2" s="1"/>
  <c r="R112" i="2"/>
  <c r="S112" i="2" s="1"/>
  <c r="R111" i="2"/>
  <c r="S111" i="2" s="1"/>
  <c r="R110" i="2"/>
  <c r="S110" i="2" s="1"/>
  <c r="R109" i="2"/>
  <c r="R108" i="2"/>
  <c r="U108" i="2" s="1"/>
  <c r="W108" i="2" s="1"/>
  <c r="S107" i="2"/>
  <c r="Y107" i="2" s="1"/>
  <c r="R105" i="2"/>
  <c r="S105" i="2" s="1"/>
  <c r="R104" i="2"/>
  <c r="S104" i="2" s="1"/>
  <c r="Y104" i="2" s="1"/>
  <c r="R103" i="2"/>
  <c r="U103" i="2" s="1"/>
  <c r="W103" i="2" s="1"/>
  <c r="R102" i="2"/>
  <c r="L118" i="2"/>
  <c r="L117" i="2"/>
  <c r="L116" i="2"/>
  <c r="L115" i="2"/>
  <c r="L114" i="2"/>
  <c r="L108" i="2"/>
  <c r="J118" i="2"/>
  <c r="J117" i="2"/>
  <c r="J116" i="2"/>
  <c r="J115" i="2"/>
  <c r="J114" i="2"/>
  <c r="J108" i="2"/>
  <c r="L104" i="2"/>
  <c r="L103" i="2"/>
  <c r="L102" i="2"/>
  <c r="J104" i="2"/>
  <c r="J103" i="2"/>
  <c r="J102" i="2"/>
  <c r="W100" i="2"/>
  <c r="R99" i="2"/>
  <c r="S99" i="2" s="1"/>
  <c r="Y99" i="2" s="1"/>
  <c r="R98" i="2"/>
  <c r="S98" i="2" s="1"/>
  <c r="Y98" i="2" s="1"/>
  <c r="R97" i="2"/>
  <c r="R96" i="2"/>
  <c r="U96" i="2" s="1"/>
  <c r="W96" i="2" s="1"/>
  <c r="R95" i="2"/>
  <c r="S95" i="2" s="1"/>
  <c r="Y95" i="2" s="1"/>
  <c r="R94" i="2"/>
  <c r="S94" i="2" s="1"/>
  <c r="Y94" i="2" s="1"/>
  <c r="R93" i="2"/>
  <c r="S93" i="2" s="1"/>
  <c r="L99" i="2"/>
  <c r="L98" i="2"/>
  <c r="L97" i="2"/>
  <c r="L96" i="2"/>
  <c r="L95" i="2"/>
  <c r="L94" i="2"/>
  <c r="L93" i="2"/>
  <c r="J99" i="2"/>
  <c r="J98" i="2"/>
  <c r="J97" i="2"/>
  <c r="J96" i="2"/>
  <c r="J95" i="2"/>
  <c r="J94" i="2"/>
  <c r="T86" i="2"/>
  <c r="R90" i="2"/>
  <c r="S90" i="2" s="1"/>
  <c r="Y90" i="2" s="1"/>
  <c r="R89" i="2"/>
  <c r="R88" i="2"/>
  <c r="S88" i="2" s="1"/>
  <c r="Y88" i="2" s="1"/>
  <c r="R87" i="2"/>
  <c r="S87" i="2" s="1"/>
  <c r="Y87" i="2" s="1"/>
  <c r="R86" i="2"/>
  <c r="S86" i="2" s="1"/>
  <c r="Y86" i="2" s="1"/>
  <c r="L90" i="2"/>
  <c r="L89" i="2"/>
  <c r="L88" i="2"/>
  <c r="L87" i="2"/>
  <c r="L86" i="2"/>
  <c r="J90" i="2"/>
  <c r="J89" i="2"/>
  <c r="J88" i="2"/>
  <c r="J87" i="2"/>
  <c r="J86" i="2"/>
  <c r="R84" i="2"/>
  <c r="S84" i="2" s="1"/>
  <c r="Y84" i="2" s="1"/>
  <c r="R83" i="2"/>
  <c r="S83" i="2" s="1"/>
  <c r="Y83" i="2" s="1"/>
  <c r="R82" i="2"/>
  <c r="S82" i="2" s="1"/>
  <c r="Y82" i="2" s="1"/>
  <c r="R81" i="2"/>
  <c r="S81" i="2" s="1"/>
  <c r="Y81" i="2" s="1"/>
  <c r="R80" i="2"/>
  <c r="S80" i="2" s="1"/>
  <c r="R79" i="2"/>
  <c r="S79" i="2" s="1"/>
  <c r="Y79" i="2" s="1"/>
  <c r="R78" i="2"/>
  <c r="S78" i="2" s="1"/>
  <c r="Y78" i="2" s="1"/>
  <c r="L84" i="2"/>
  <c r="L81" i="2"/>
  <c r="L78" i="2"/>
  <c r="J84" i="2"/>
  <c r="J81" i="2"/>
  <c r="J78" i="2"/>
  <c r="L76" i="2"/>
  <c r="L75" i="2"/>
  <c r="L74" i="2"/>
  <c r="J76" i="2"/>
  <c r="J75" i="2"/>
  <c r="J74" i="2"/>
  <c r="R76" i="2"/>
  <c r="S76" i="2" s="1"/>
  <c r="Y76" i="2" s="1"/>
  <c r="R75" i="2"/>
  <c r="S75" i="2" s="1"/>
  <c r="Y75" i="2" s="1"/>
  <c r="R74" i="2"/>
  <c r="S74" i="2" s="1"/>
  <c r="Y74" i="2" s="1"/>
  <c r="R72" i="2"/>
  <c r="S72" i="2" s="1"/>
  <c r="Y72" i="2" s="1"/>
  <c r="R71" i="2"/>
  <c r="S71" i="2" s="1"/>
  <c r="Y71" i="2" s="1"/>
  <c r="R70" i="2"/>
  <c r="R69" i="2"/>
  <c r="L72" i="2"/>
  <c r="L71" i="2"/>
  <c r="L70" i="2"/>
  <c r="L69" i="2"/>
  <c r="J72" i="2"/>
  <c r="J71" i="2"/>
  <c r="J70" i="2"/>
  <c r="J69" i="2"/>
  <c r="R67" i="2"/>
  <c r="S67" i="2" s="1"/>
  <c r="R66" i="2"/>
  <c r="S66" i="2" s="1"/>
  <c r="Y66" i="2" s="1"/>
  <c r="R65" i="2"/>
  <c r="S65" i="2" s="1"/>
  <c r="R64" i="2"/>
  <c r="S64" i="2" s="1"/>
  <c r="Y64" i="2" s="1"/>
  <c r="R63" i="2"/>
  <c r="S63" i="2" s="1"/>
  <c r="Y63" i="2" s="1"/>
  <c r="R62" i="2"/>
  <c r="U62" i="2" s="1"/>
  <c r="W62" i="2" s="1"/>
  <c r="R61" i="2"/>
  <c r="U61" i="2" s="1"/>
  <c r="R59" i="2"/>
  <c r="S59" i="2" s="1"/>
  <c r="Y59" i="2" s="1"/>
  <c r="R58" i="2"/>
  <c r="S58" i="2" s="1"/>
  <c r="Y58" i="2" s="1"/>
  <c r="R57" i="2"/>
  <c r="S57" i="2" s="1"/>
  <c r="Y57" i="2" s="1"/>
  <c r="L67" i="2"/>
  <c r="L66" i="2"/>
  <c r="L65" i="2"/>
  <c r="L64" i="2"/>
  <c r="L63" i="2"/>
  <c r="L62" i="2"/>
  <c r="L61" i="2"/>
  <c r="J67" i="2"/>
  <c r="J66" i="2"/>
  <c r="J65" i="2"/>
  <c r="J64" i="2"/>
  <c r="J63" i="2"/>
  <c r="J62" i="2"/>
  <c r="J61" i="2"/>
  <c r="L59" i="2"/>
  <c r="L58" i="2"/>
  <c r="L57" i="2"/>
  <c r="J59" i="2"/>
  <c r="J58" i="2"/>
  <c r="J57" i="2"/>
  <c r="R55" i="2"/>
  <c r="U55" i="2" s="1"/>
  <c r="W55" i="2" s="1"/>
  <c r="R54" i="2"/>
  <c r="S54" i="2" s="1"/>
  <c r="Y54" i="2" s="1"/>
  <c r="R53" i="2"/>
  <c r="S53" i="2" s="1"/>
  <c r="Y53" i="2" s="1"/>
  <c r="L55" i="2"/>
  <c r="L54" i="2"/>
  <c r="L53" i="2"/>
  <c r="J55" i="2"/>
  <c r="J54" i="2"/>
  <c r="J53" i="2"/>
  <c r="S51" i="2"/>
  <c r="Y51" i="2" s="1"/>
  <c r="S50" i="2"/>
  <c r="Y50" i="2" s="1"/>
  <c r="T48" i="2"/>
  <c r="W51" i="2"/>
  <c r="J50" i="2"/>
  <c r="L50" i="2"/>
  <c r="L51" i="2"/>
  <c r="J51" i="2"/>
  <c r="R48" i="2"/>
  <c r="R47" i="2"/>
  <c r="S47" i="2" s="1"/>
  <c r="Y47" i="2" s="1"/>
  <c r="R46" i="2"/>
  <c r="S46" i="2" s="1"/>
  <c r="Y46" i="2" s="1"/>
  <c r="R45" i="2"/>
  <c r="S45" i="2" s="1"/>
  <c r="Y45" i="2" s="1"/>
  <c r="R44" i="2"/>
  <c r="R42" i="2"/>
  <c r="S42" i="2" s="1"/>
  <c r="R41" i="2"/>
  <c r="S41" i="2" s="1"/>
  <c r="Y41" i="2" s="1"/>
  <c r="R40" i="2"/>
  <c r="S40" i="2" s="1"/>
  <c r="R38" i="2"/>
  <c r="S38" i="2" s="1"/>
  <c r="R37" i="2"/>
  <c r="S37" i="2" s="1"/>
  <c r="R36" i="2"/>
  <c r="S36" i="2" s="1"/>
  <c r="R35" i="2"/>
  <c r="S35" i="2" s="1"/>
  <c r="L48" i="2"/>
  <c r="L47" i="2"/>
  <c r="L46" i="2"/>
  <c r="L45" i="2"/>
  <c r="L44" i="2"/>
  <c r="J48" i="2"/>
  <c r="J47" i="2"/>
  <c r="J46" i="2"/>
  <c r="J45" i="2"/>
  <c r="J44" i="2"/>
  <c r="W42" i="2"/>
  <c r="Y5" i="3" l="1"/>
  <c r="S133" i="2"/>
  <c r="Y133" i="2"/>
  <c r="AA133" i="2" s="1"/>
  <c r="Y77" i="2"/>
  <c r="K62" i="8" s="1"/>
  <c r="Y97" i="4"/>
  <c r="AA121" i="4"/>
  <c r="M152" i="8" s="1"/>
  <c r="I154" i="8"/>
  <c r="I153" i="8" s="1"/>
  <c r="U135" i="4"/>
  <c r="S137" i="2"/>
  <c r="Y137" i="2"/>
  <c r="Y14" i="3"/>
  <c r="AA47" i="3"/>
  <c r="AA29" i="3"/>
  <c r="Y28" i="3"/>
  <c r="K100" i="8" s="1"/>
  <c r="U40" i="3"/>
  <c r="K192" i="8"/>
  <c r="AA179" i="2"/>
  <c r="Y166" i="2"/>
  <c r="Y165" i="2" s="1"/>
  <c r="AA36" i="5"/>
  <c r="M172" i="8" s="1"/>
  <c r="E166" i="8"/>
  <c r="Y193" i="2"/>
  <c r="AA7" i="5"/>
  <c r="AA5" i="5" s="1"/>
  <c r="AA4" i="5" s="1"/>
  <c r="M162" i="8" s="1"/>
  <c r="W18" i="5"/>
  <c r="W17" i="5" s="1"/>
  <c r="H17" i="5" s="1"/>
  <c r="Y5" i="5"/>
  <c r="K163" i="8" s="1"/>
  <c r="I148" i="8"/>
  <c r="I147" i="8" s="1"/>
  <c r="U97" i="4"/>
  <c r="U17" i="5"/>
  <c r="AA205" i="2"/>
  <c r="S70" i="2"/>
  <c r="Y70" i="2" s="1"/>
  <c r="AA138" i="2"/>
  <c r="AA22" i="6"/>
  <c r="M202" i="8" s="1"/>
  <c r="AA47" i="6"/>
  <c r="M206" i="8" s="1"/>
  <c r="M204" i="8"/>
  <c r="K185" i="8"/>
  <c r="S69" i="2"/>
  <c r="Y69" i="2" s="1"/>
  <c r="AA126" i="3"/>
  <c r="AA125" i="3" s="1"/>
  <c r="S146" i="2"/>
  <c r="Y146" i="2" s="1"/>
  <c r="W146" i="2"/>
  <c r="U139" i="2"/>
  <c r="W139" i="2" s="1"/>
  <c r="S139" i="2"/>
  <c r="S134" i="2"/>
  <c r="Y134" i="2" s="1"/>
  <c r="U134" i="2"/>
  <c r="W134" i="2" s="1"/>
  <c r="U137" i="2"/>
  <c r="W137" i="2" s="1"/>
  <c r="S142" i="2"/>
  <c r="Y142" i="2" s="1"/>
  <c r="Y140" i="2" s="1"/>
  <c r="K75" i="8" s="1"/>
  <c r="U142" i="2"/>
  <c r="W142" i="2" s="1"/>
  <c r="S102" i="2"/>
  <c r="Y102" i="2" s="1"/>
  <c r="Y33" i="4"/>
  <c r="K129" i="8" s="1"/>
  <c r="AA27" i="3"/>
  <c r="AA24" i="3" s="1"/>
  <c r="M99" i="8" s="1"/>
  <c r="AA16" i="3"/>
  <c r="M97" i="8" s="1"/>
  <c r="Y24" i="3"/>
  <c r="AA34" i="3"/>
  <c r="M102" i="8" s="1"/>
  <c r="S97" i="2"/>
  <c r="Y97" i="2" s="1"/>
  <c r="S48" i="2"/>
  <c r="Y48" i="2" s="1"/>
  <c r="AA48" i="2" s="1"/>
  <c r="U48" i="2"/>
  <c r="W48" i="2" s="1"/>
  <c r="Y167" i="4"/>
  <c r="J33" i="3"/>
  <c r="Y46" i="3"/>
  <c r="AA46" i="2"/>
  <c r="AA51" i="2"/>
  <c r="AA128" i="2"/>
  <c r="AA79" i="2"/>
  <c r="AA58" i="2"/>
  <c r="AA82" i="2"/>
  <c r="AA83" i="2"/>
  <c r="AA59" i="3"/>
  <c r="M108" i="8" s="1"/>
  <c r="Y54" i="3"/>
  <c r="K107" i="8" s="1"/>
  <c r="AA56" i="3"/>
  <c r="AA54" i="3" s="1"/>
  <c r="M107" i="8" s="1"/>
  <c r="AA91" i="3"/>
  <c r="M114" i="8" s="1"/>
  <c r="AA32" i="3"/>
  <c r="AA107" i="3"/>
  <c r="M118" i="8" s="1"/>
  <c r="U28" i="3"/>
  <c r="I100" i="8" s="1"/>
  <c r="AA50" i="3"/>
  <c r="AA130" i="3"/>
  <c r="AA129" i="3" s="1"/>
  <c r="M122" i="8" s="1"/>
  <c r="AA48" i="5"/>
  <c r="M175" i="8" s="1"/>
  <c r="AA85" i="5"/>
  <c r="M186" i="8" s="1"/>
  <c r="W105" i="5"/>
  <c r="W77" i="5" s="1"/>
  <c r="H77" i="5" s="1"/>
  <c r="AA66" i="3"/>
  <c r="AA90" i="2"/>
  <c r="AA88" i="2"/>
  <c r="AA87" i="2"/>
  <c r="AA86" i="2"/>
  <c r="AA114" i="2"/>
  <c r="AA104" i="2"/>
  <c r="AA99" i="2"/>
  <c r="AA98" i="2"/>
  <c r="AA95" i="2"/>
  <c r="AA94" i="2"/>
  <c r="AA31" i="3"/>
  <c r="AA10" i="3"/>
  <c r="AA9" i="3"/>
  <c r="AA8" i="3"/>
  <c r="AA76" i="2"/>
  <c r="AA75" i="2"/>
  <c r="AA74" i="2"/>
  <c r="AA72" i="2"/>
  <c r="AA71" i="2"/>
  <c r="AA64" i="2"/>
  <c r="AA63" i="2"/>
  <c r="AA66" i="2"/>
  <c r="AA59" i="2"/>
  <c r="AA57" i="2"/>
  <c r="AA53" i="2"/>
  <c r="AA54" i="2"/>
  <c r="AA47" i="2"/>
  <c r="AA45" i="2"/>
  <c r="AA41" i="2"/>
  <c r="AA40" i="2"/>
  <c r="AA158" i="2"/>
  <c r="AA157" i="2"/>
  <c r="AA156" i="2"/>
  <c r="AA153" i="2"/>
  <c r="AA152" i="2"/>
  <c r="AA151" i="2"/>
  <c r="AA150" i="2"/>
  <c r="AA144" i="2"/>
  <c r="AA143" i="2"/>
  <c r="AA136" i="2"/>
  <c r="AA135" i="2"/>
  <c r="M160" i="8"/>
  <c r="AA84" i="2"/>
  <c r="AA78" i="2"/>
  <c r="AA5" i="4"/>
  <c r="AA4" i="4" s="1"/>
  <c r="H101" i="8"/>
  <c r="AA64" i="4"/>
  <c r="M138" i="8" s="1"/>
  <c r="AA45" i="6"/>
  <c r="AA40" i="6" s="1"/>
  <c r="Y40" i="6"/>
  <c r="K205" i="8" s="1"/>
  <c r="Y82" i="4"/>
  <c r="AA83" i="4"/>
  <c r="M144" i="8" s="1"/>
  <c r="Y140" i="4"/>
  <c r="K115" i="8"/>
  <c r="AA83" i="3"/>
  <c r="AA73" i="3" s="1"/>
  <c r="AA71" i="3"/>
  <c r="AA68" i="3" s="1"/>
  <c r="M111" i="8" s="1"/>
  <c r="AA129" i="2"/>
  <c r="K206" i="8"/>
  <c r="AA101" i="3"/>
  <c r="M117" i="8" s="1"/>
  <c r="AA204" i="2"/>
  <c r="AA202" i="2"/>
  <c r="AA201" i="2"/>
  <c r="J145" i="2"/>
  <c r="E76" i="8" s="1"/>
  <c r="M200" i="8"/>
  <c r="AA57" i="5"/>
  <c r="M178" i="8" s="1"/>
  <c r="M167" i="8"/>
  <c r="K176" i="8"/>
  <c r="K175" i="8" s="1"/>
  <c r="Y48" i="5"/>
  <c r="M192" i="8"/>
  <c r="AA78" i="5"/>
  <c r="M177" i="8"/>
  <c r="X4" i="4"/>
  <c r="M148" i="8"/>
  <c r="AA33" i="4"/>
  <c r="M129" i="8" s="1"/>
  <c r="K154" i="8"/>
  <c r="AA136" i="4"/>
  <c r="AA91" i="4"/>
  <c r="Y64" i="3"/>
  <c r="K109" i="8" s="1"/>
  <c r="W31" i="3"/>
  <c r="W28" i="3" s="1"/>
  <c r="AA65" i="3"/>
  <c r="AA40" i="3"/>
  <c r="M103" i="8" s="1"/>
  <c r="AA43" i="3"/>
  <c r="M104" i="8" s="1"/>
  <c r="AA86" i="3"/>
  <c r="M113" i="8" s="1"/>
  <c r="K97" i="8"/>
  <c r="AA96" i="3"/>
  <c r="M115" i="8" s="1"/>
  <c r="AA117" i="3"/>
  <c r="K102" i="8"/>
  <c r="Y33" i="3"/>
  <c r="AA184" i="2"/>
  <c r="M86" i="8" s="1"/>
  <c r="AA170" i="2"/>
  <c r="M82" i="8" s="1"/>
  <c r="AA187" i="2"/>
  <c r="M87" i="8" s="1"/>
  <c r="AA107" i="2"/>
  <c r="AA173" i="2"/>
  <c r="M83" i="8" s="1"/>
  <c r="J3" i="6"/>
  <c r="E198" i="8" s="1"/>
  <c r="E9" i="7" s="1"/>
  <c r="W4" i="5"/>
  <c r="H4" i="5" s="1"/>
  <c r="K152" i="8"/>
  <c r="I203" i="8"/>
  <c r="I199" i="8"/>
  <c r="I162" i="8"/>
  <c r="I166" i="8"/>
  <c r="I191" i="8"/>
  <c r="W4" i="4"/>
  <c r="H4" i="4" s="1"/>
  <c r="J56" i="2"/>
  <c r="E58" i="8" s="1"/>
  <c r="J101" i="2"/>
  <c r="E66" i="8" s="1"/>
  <c r="W57" i="2"/>
  <c r="J73" i="2"/>
  <c r="E61" i="8" s="1"/>
  <c r="U203" i="2"/>
  <c r="I91" i="8" s="1"/>
  <c r="U88" i="2"/>
  <c r="W88" i="2" s="1"/>
  <c r="U161" i="2"/>
  <c r="W161" i="2" s="1"/>
  <c r="W160" i="2" s="1"/>
  <c r="L145" i="2"/>
  <c r="H76" i="8" s="1"/>
  <c r="J140" i="2"/>
  <c r="E75" i="8" s="1"/>
  <c r="Y203" i="2"/>
  <c r="K91" i="8" s="1"/>
  <c r="Z4" i="4"/>
  <c r="Z100" i="4"/>
  <c r="Z97" i="4" s="1"/>
  <c r="I124" i="8"/>
  <c r="E147" i="8"/>
  <c r="X82" i="4"/>
  <c r="U184" i="2"/>
  <c r="I86" i="8" s="1"/>
  <c r="U98" i="2"/>
  <c r="W98" i="2" s="1"/>
  <c r="W136" i="2"/>
  <c r="W193" i="2"/>
  <c r="W198" i="2"/>
  <c r="U69" i="2"/>
  <c r="W69" i="2" s="1"/>
  <c r="U84" i="2"/>
  <c r="W84" i="2" s="1"/>
  <c r="J126" i="2"/>
  <c r="E72" i="8" s="1"/>
  <c r="E68" i="8" s="1"/>
  <c r="W135" i="2"/>
  <c r="U158" i="2"/>
  <c r="W158" i="2" s="1"/>
  <c r="U193" i="2"/>
  <c r="I89" i="8" s="1"/>
  <c r="U182" i="2"/>
  <c r="I85" i="8" s="1"/>
  <c r="W96" i="3"/>
  <c r="U5" i="3"/>
  <c r="I94" i="8" s="1"/>
  <c r="W147" i="2"/>
  <c r="U152" i="2"/>
  <c r="W152" i="2" s="1"/>
  <c r="AA81" i="2"/>
  <c r="L43" i="2"/>
  <c r="H55" i="8" s="1"/>
  <c r="Y49" i="2"/>
  <c r="K56" i="8" s="1"/>
  <c r="AA50" i="2"/>
  <c r="W53" i="2"/>
  <c r="Y118" i="2"/>
  <c r="U138" i="2"/>
  <c r="W138" i="2" s="1"/>
  <c r="S147" i="2"/>
  <c r="Y147" i="2" s="1"/>
  <c r="U82" i="4"/>
  <c r="I146" i="8"/>
  <c r="I143" i="8" s="1"/>
  <c r="X135" i="4"/>
  <c r="X97" i="4"/>
  <c r="AA194" i="2"/>
  <c r="AA193" i="2" s="1"/>
  <c r="I130" i="8"/>
  <c r="U4" i="5"/>
  <c r="U78" i="2"/>
  <c r="W78" i="2" s="1"/>
  <c r="I127" i="8"/>
  <c r="U34" i="3"/>
  <c r="I102" i="8" s="1"/>
  <c r="I184" i="8"/>
  <c r="AA89" i="2"/>
  <c r="S89" i="2"/>
  <c r="I136" i="8"/>
  <c r="U30" i="6"/>
  <c r="I178" i="8"/>
  <c r="I109" i="8"/>
  <c r="U54" i="3"/>
  <c r="I107" i="8" s="1"/>
  <c r="W57" i="5"/>
  <c r="H57" i="5" s="1"/>
  <c r="U24" i="3"/>
  <c r="I99" i="8" s="1"/>
  <c r="X26" i="4"/>
  <c r="W135" i="4"/>
  <c r="H135" i="4" s="1"/>
  <c r="AA142" i="4"/>
  <c r="AA140" i="4" s="1"/>
  <c r="Z135" i="4"/>
  <c r="W97" i="4"/>
  <c r="H97" i="4" s="1"/>
  <c r="Z82" i="4"/>
  <c r="E110" i="8"/>
  <c r="J77" i="2"/>
  <c r="E62" i="8" s="1"/>
  <c r="Y129" i="3"/>
  <c r="Y124" i="3" s="1"/>
  <c r="U96" i="3"/>
  <c r="I115" i="8" s="1"/>
  <c r="Y73" i="3"/>
  <c r="K112" i="8" s="1"/>
  <c r="Y68" i="3"/>
  <c r="L67" i="3"/>
  <c r="W55" i="3"/>
  <c r="W54" i="3" s="1"/>
  <c r="W22" i="3"/>
  <c r="W21" i="3" s="1"/>
  <c r="H96" i="8"/>
  <c r="U107" i="3"/>
  <c r="I118" i="8" s="1"/>
  <c r="E96" i="8"/>
  <c r="Y23" i="3"/>
  <c r="J15" i="3"/>
  <c r="W126" i="3"/>
  <c r="W125" i="3" s="1"/>
  <c r="U125" i="3"/>
  <c r="I121" i="8" s="1"/>
  <c r="H111" i="8"/>
  <c r="H110" i="8" s="1"/>
  <c r="H93" i="8"/>
  <c r="J124" i="3"/>
  <c r="W64" i="3"/>
  <c r="H105" i="8"/>
  <c r="H116" i="8"/>
  <c r="W101" i="3"/>
  <c r="W24" i="3"/>
  <c r="U187" i="2"/>
  <c r="I87" i="8" s="1"/>
  <c r="W188" i="2"/>
  <c r="W187" i="2" s="1"/>
  <c r="W185" i="2"/>
  <c r="W184" i="2" s="1"/>
  <c r="W177" i="2"/>
  <c r="W176" i="2" s="1"/>
  <c r="U176" i="2"/>
  <c r="I84" i="8" s="1"/>
  <c r="W174" i="2"/>
  <c r="W173" i="2" s="1"/>
  <c r="U173" i="2"/>
  <c r="I83" i="8" s="1"/>
  <c r="W171" i="2"/>
  <c r="W170" i="2" s="1"/>
  <c r="U170" i="2"/>
  <c r="I82" i="8" s="1"/>
  <c r="W167" i="2"/>
  <c r="W165" i="2" s="1"/>
  <c r="U165" i="2"/>
  <c r="L3" i="6"/>
  <c r="W127" i="2"/>
  <c r="Y124" i="2"/>
  <c r="K71" i="8" s="1"/>
  <c r="AA125" i="2"/>
  <c r="Y120" i="2"/>
  <c r="AA121" i="2"/>
  <c r="AA120" i="2" s="1"/>
  <c r="S163" i="2"/>
  <c r="Y163" i="2" s="1"/>
  <c r="Y160" i="2" s="1"/>
  <c r="AA161" i="2"/>
  <c r="J160" i="2"/>
  <c r="E79" i="8" s="1"/>
  <c r="L160" i="2"/>
  <c r="H79" i="8" s="1"/>
  <c r="U90" i="2"/>
  <c r="W90" i="2" s="1"/>
  <c r="J85" i="2"/>
  <c r="E63" i="8" s="1"/>
  <c r="U89" i="2"/>
  <c r="W89" i="2" s="1"/>
  <c r="L85" i="2"/>
  <c r="H63" i="8" s="1"/>
  <c r="W132" i="3"/>
  <c r="W129" i="3" s="1"/>
  <c r="U129" i="3"/>
  <c r="I122" i="8" s="1"/>
  <c r="K121" i="8"/>
  <c r="Y115" i="2"/>
  <c r="J106" i="2"/>
  <c r="E67" i="8" s="1"/>
  <c r="L106" i="2"/>
  <c r="H67" i="8" s="1"/>
  <c r="L101" i="2"/>
  <c r="H66" i="8" s="1"/>
  <c r="Y93" i="2"/>
  <c r="U93" i="2"/>
  <c r="W93" i="2" s="1"/>
  <c r="J67" i="3"/>
  <c r="U73" i="3"/>
  <c r="I112" i="8" s="1"/>
  <c r="W68" i="3"/>
  <c r="U68" i="3"/>
  <c r="I111" i="8" s="1"/>
  <c r="U57" i="5"/>
  <c r="S159" i="2"/>
  <c r="U157" i="2"/>
  <c r="W157" i="2" s="1"/>
  <c r="L154" i="2"/>
  <c r="H78" i="8" s="1"/>
  <c r="U156" i="2"/>
  <c r="W156" i="2" s="1"/>
  <c r="J154" i="2"/>
  <c r="E78" i="8" s="1"/>
  <c r="U155" i="2"/>
  <c r="AA155" i="2"/>
  <c r="U153" i="2"/>
  <c r="W153" i="2" s="1"/>
  <c r="L148" i="2"/>
  <c r="H77" i="8" s="1"/>
  <c r="J148" i="2"/>
  <c r="E77" i="8" s="1"/>
  <c r="AA149" i="2"/>
  <c r="Y148" i="2"/>
  <c r="K77" i="8" s="1"/>
  <c r="U149" i="2"/>
  <c r="W149" i="2" s="1"/>
  <c r="U150" i="2"/>
  <c r="W150" i="2" s="1"/>
  <c r="W151" i="2"/>
  <c r="W144" i="2"/>
  <c r="W143" i="2"/>
  <c r="L140" i="2"/>
  <c r="H75" i="8" s="1"/>
  <c r="AA141" i="2"/>
  <c r="W141" i="2"/>
  <c r="J131" i="2"/>
  <c r="L131" i="2"/>
  <c r="H74" i="8" s="1"/>
  <c r="AA132" i="2"/>
  <c r="U91" i="3"/>
  <c r="I114" i="8" s="1"/>
  <c r="W92" i="3"/>
  <c r="W91" i="3" s="1"/>
  <c r="K117" i="8"/>
  <c r="W107" i="3"/>
  <c r="E94" i="8"/>
  <c r="E93" i="8" s="1"/>
  <c r="J4" i="3"/>
  <c r="U86" i="3"/>
  <c r="I113" i="8" s="1"/>
  <c r="W87" i="3"/>
  <c r="W86" i="3" s="1"/>
  <c r="W73" i="3"/>
  <c r="AA6" i="3"/>
  <c r="U43" i="3"/>
  <c r="W41" i="3"/>
  <c r="W40" i="3" s="1"/>
  <c r="U77" i="5"/>
  <c r="W118" i="3"/>
  <c r="W117" i="3" s="1"/>
  <c r="U117" i="3"/>
  <c r="I119" i="8" s="1"/>
  <c r="E116" i="8"/>
  <c r="U101" i="3"/>
  <c r="I117" i="8" s="1"/>
  <c r="L100" i="3"/>
  <c r="J100" i="3"/>
  <c r="L45" i="3"/>
  <c r="W60" i="3"/>
  <c r="W59" i="3" s="1"/>
  <c r="U59" i="3"/>
  <c r="I108" i="8" s="1"/>
  <c r="U198" i="2"/>
  <c r="I90" i="8" s="1"/>
  <c r="W30" i="6"/>
  <c r="H30" i="6" s="1"/>
  <c r="W4" i="6"/>
  <c r="H4" i="6" s="1"/>
  <c r="U4" i="6"/>
  <c r="Y73" i="2"/>
  <c r="K61" i="8" s="1"/>
  <c r="U75" i="2"/>
  <c r="W75" i="2" s="1"/>
  <c r="L73" i="2"/>
  <c r="H61" i="8" s="1"/>
  <c r="U71" i="2"/>
  <c r="W71" i="2" s="1"/>
  <c r="U72" i="2"/>
  <c r="W72" i="2" s="1"/>
  <c r="U70" i="2"/>
  <c r="W70" i="2" s="1"/>
  <c r="J68" i="2"/>
  <c r="E60" i="8" s="1"/>
  <c r="L68" i="2"/>
  <c r="H60" i="8" s="1"/>
  <c r="U65" i="2"/>
  <c r="W65" i="2" s="1"/>
  <c r="W64" i="2"/>
  <c r="J60" i="2"/>
  <c r="E59" i="8" s="1"/>
  <c r="L60" i="2"/>
  <c r="H59" i="8" s="1"/>
  <c r="L56" i="2"/>
  <c r="H58" i="8" s="1"/>
  <c r="L52" i="2"/>
  <c r="H57" i="8" s="1"/>
  <c r="L49" i="2"/>
  <c r="H56" i="8" s="1"/>
  <c r="U49" i="2"/>
  <c r="I56" i="8" s="1"/>
  <c r="U45" i="2"/>
  <c r="W45" i="2" s="1"/>
  <c r="W26" i="4"/>
  <c r="H26" i="4" s="1"/>
  <c r="U26" i="4"/>
  <c r="L126" i="2"/>
  <c r="H72" i="8" s="1"/>
  <c r="H68" i="8" s="1"/>
  <c r="J45" i="3"/>
  <c r="E105" i="8"/>
  <c r="W47" i="3"/>
  <c r="W46" i="3" s="1"/>
  <c r="U46" i="3"/>
  <c r="I106" i="8" s="1"/>
  <c r="W34" i="3"/>
  <c r="L33" i="3"/>
  <c r="E102" i="8"/>
  <c r="E101" i="8" s="1"/>
  <c r="L15" i="3"/>
  <c r="W17" i="3"/>
  <c r="W16" i="3" s="1"/>
  <c r="U16" i="3"/>
  <c r="I97" i="8" s="1"/>
  <c r="L4" i="3"/>
  <c r="W5" i="3"/>
  <c r="U109" i="5"/>
  <c r="W109" i="5"/>
  <c r="H109" i="5" s="1"/>
  <c r="W48" i="5"/>
  <c r="H48" i="5" s="1"/>
  <c r="U48" i="5"/>
  <c r="K144" i="8"/>
  <c r="U60" i="4"/>
  <c r="W60" i="4"/>
  <c r="H60" i="4" s="1"/>
  <c r="U37" i="4"/>
  <c r="W37" i="4"/>
  <c r="H37" i="4" s="1"/>
  <c r="U4" i="4"/>
  <c r="L124" i="3"/>
  <c r="W82" i="4"/>
  <c r="H82" i="4" s="1"/>
  <c r="W12" i="3"/>
  <c r="W11" i="3" s="1"/>
  <c r="U11" i="3"/>
  <c r="I95" i="8" s="1"/>
  <c r="Y85" i="2"/>
  <c r="U99" i="2"/>
  <c r="W99" i="2" s="1"/>
  <c r="W58" i="2"/>
  <c r="W46" i="2"/>
  <c r="W123" i="2"/>
  <c r="W122" i="2" s="1"/>
  <c r="J43" i="2"/>
  <c r="E55" i="8" s="1"/>
  <c r="U47" i="2"/>
  <c r="W47" i="2" s="1"/>
  <c r="J49" i="2"/>
  <c r="E56" i="8" s="1"/>
  <c r="J52" i="2"/>
  <c r="E57" i="8" s="1"/>
  <c r="U66" i="2"/>
  <c r="W66" i="2" s="1"/>
  <c r="U74" i="2"/>
  <c r="S96" i="2"/>
  <c r="Y96" i="2" s="1"/>
  <c r="U54" i="2"/>
  <c r="W54" i="2" s="1"/>
  <c r="U94" i="2"/>
  <c r="W94" i="2" s="1"/>
  <c r="L77" i="2"/>
  <c r="H62" i="8" s="1"/>
  <c r="U86" i="2"/>
  <c r="U114" i="2"/>
  <c r="W114" i="2" s="1"/>
  <c r="U129" i="2"/>
  <c r="W129" i="2" s="1"/>
  <c r="U125" i="2"/>
  <c r="U67" i="2"/>
  <c r="W67" i="2" s="1"/>
  <c r="U76" i="2"/>
  <c r="W76" i="2" s="1"/>
  <c r="U81" i="2"/>
  <c r="W81" i="2" s="1"/>
  <c r="U87" i="2"/>
  <c r="W87" i="2" s="1"/>
  <c r="U97" i="2"/>
  <c r="W97" i="2" s="1"/>
  <c r="U118" i="2"/>
  <c r="W118" i="2" s="1"/>
  <c r="U128" i="2"/>
  <c r="W128" i="2" s="1"/>
  <c r="S127" i="2"/>
  <c r="Y127" i="2" s="1"/>
  <c r="S123" i="2"/>
  <c r="Y123" i="2" s="1"/>
  <c r="U115" i="2"/>
  <c r="W115" i="2" s="1"/>
  <c r="S109" i="2"/>
  <c r="S117" i="2"/>
  <c r="S108" i="2"/>
  <c r="Y108" i="2" s="1"/>
  <c r="S116" i="2"/>
  <c r="U102" i="2"/>
  <c r="S103" i="2"/>
  <c r="Y103" i="2" s="1"/>
  <c r="U104" i="2"/>
  <c r="W104" i="2" s="1"/>
  <c r="W61" i="2"/>
  <c r="S61" i="2"/>
  <c r="Y61" i="2" s="1"/>
  <c r="S62" i="2"/>
  <c r="Y62" i="2" s="1"/>
  <c r="U63" i="2"/>
  <c r="W63" i="2" s="1"/>
  <c r="Y56" i="2"/>
  <c r="K58" i="8" s="1"/>
  <c r="W59" i="2"/>
  <c r="S55" i="2"/>
  <c r="Y55" i="2" s="1"/>
  <c r="W44" i="2"/>
  <c r="S44" i="2"/>
  <c r="Y44" i="2" s="1"/>
  <c r="Y39" i="2"/>
  <c r="K54" i="8" s="1"/>
  <c r="U41" i="2"/>
  <c r="W41" i="2" s="1"/>
  <c r="W50" i="2"/>
  <c r="W49" i="2" s="1"/>
  <c r="Z49" i="2"/>
  <c r="L42" i="2"/>
  <c r="L41" i="2"/>
  <c r="L40" i="2"/>
  <c r="J42" i="2"/>
  <c r="J41" i="2"/>
  <c r="J40" i="2"/>
  <c r="K40" i="2"/>
  <c r="K41" i="2"/>
  <c r="K42" i="2"/>
  <c r="Y38" i="2"/>
  <c r="Y37" i="2"/>
  <c r="Y35" i="2"/>
  <c r="W38" i="2"/>
  <c r="U37" i="2"/>
  <c r="W37" i="2" s="1"/>
  <c r="W36" i="2"/>
  <c r="L38" i="2"/>
  <c r="L37" i="2"/>
  <c r="L36" i="2"/>
  <c r="L35" i="2"/>
  <c r="J38" i="2"/>
  <c r="J37" i="2"/>
  <c r="J36" i="2"/>
  <c r="J35" i="2"/>
  <c r="R33" i="2"/>
  <c r="S33" i="2" s="1"/>
  <c r="Y33" i="2" s="1"/>
  <c r="R32" i="2"/>
  <c r="S32" i="2" s="1"/>
  <c r="Y32" i="2" s="1"/>
  <c r="R31" i="2"/>
  <c r="S31" i="2" s="1"/>
  <c r="Y31" i="2" s="1"/>
  <c r="R30" i="2"/>
  <c r="S30" i="2" s="1"/>
  <c r="Y30" i="2" s="1"/>
  <c r="L33" i="2"/>
  <c r="L32" i="2"/>
  <c r="L31" i="2"/>
  <c r="L30" i="2"/>
  <c r="J33" i="2"/>
  <c r="J32" i="2"/>
  <c r="J31" i="2"/>
  <c r="J30" i="2"/>
  <c r="R28" i="2"/>
  <c r="S28" i="2" s="1"/>
  <c r="Y28" i="2" s="1"/>
  <c r="R27" i="2"/>
  <c r="S27" i="2" s="1"/>
  <c r="Y27" i="2" s="1"/>
  <c r="R26" i="2"/>
  <c r="S26" i="2" s="1"/>
  <c r="Y26" i="2" s="1"/>
  <c r="R25" i="2"/>
  <c r="S25" i="2" s="1"/>
  <c r="Y25" i="2" s="1"/>
  <c r="R24" i="2"/>
  <c r="S24" i="2" s="1"/>
  <c r="Y24" i="2" s="1"/>
  <c r="R23" i="2"/>
  <c r="S23" i="2" s="1"/>
  <c r="Y23" i="2" s="1"/>
  <c r="R22" i="2"/>
  <c r="S22" i="2" s="1"/>
  <c r="Y22" i="2" s="1"/>
  <c r="L28" i="2"/>
  <c r="L27" i="2"/>
  <c r="L26" i="2"/>
  <c r="L25" i="2"/>
  <c r="L24" i="2"/>
  <c r="L23" i="2"/>
  <c r="L22" i="2"/>
  <c r="J28" i="2"/>
  <c r="J27" i="2"/>
  <c r="J26" i="2"/>
  <c r="J25" i="2"/>
  <c r="J24" i="2"/>
  <c r="J23" i="2"/>
  <c r="J22" i="2"/>
  <c r="R16" i="2"/>
  <c r="R20" i="2"/>
  <c r="U20" i="2" s="1"/>
  <c r="W20" i="2" s="1"/>
  <c r="R19" i="2"/>
  <c r="S19" i="2" s="1"/>
  <c r="Y19" i="2" s="1"/>
  <c r="R17" i="2"/>
  <c r="R14" i="2"/>
  <c r="S14" i="2" s="1"/>
  <c r="Y14" i="2" s="1"/>
  <c r="L16" i="2"/>
  <c r="L20" i="2"/>
  <c r="L19" i="2"/>
  <c r="L18" i="2"/>
  <c r="J20" i="2"/>
  <c r="J19" i="2"/>
  <c r="J18" i="2"/>
  <c r="J16" i="2"/>
  <c r="T13" i="2"/>
  <c r="L14" i="2"/>
  <c r="L13" i="2"/>
  <c r="R13" i="2"/>
  <c r="S13" i="2" s="1"/>
  <c r="Y13" i="2" s="1"/>
  <c r="J14" i="2"/>
  <c r="J13" i="2"/>
  <c r="L6" i="2"/>
  <c r="L9" i="2"/>
  <c r="L10" i="2"/>
  <c r="L11" i="2"/>
  <c r="L7" i="2"/>
  <c r="K7" i="2"/>
  <c r="J6" i="2"/>
  <c r="I7" i="2"/>
  <c r="I6" i="1"/>
  <c r="J7" i="2"/>
  <c r="J10" i="2"/>
  <c r="J8" i="2"/>
  <c r="J9" i="2"/>
  <c r="J11" i="2"/>
  <c r="X7" i="2"/>
  <c r="T7" i="2"/>
  <c r="AA166" i="2" l="1"/>
  <c r="AA165" i="2" s="1"/>
  <c r="M81" i="8" s="1"/>
  <c r="AA14" i="3"/>
  <c r="Y11" i="3"/>
  <c r="K95" i="8" s="1"/>
  <c r="AA46" i="3"/>
  <c r="M106" i="8" s="1"/>
  <c r="K155" i="8"/>
  <c r="Y135" i="4"/>
  <c r="AA97" i="4"/>
  <c r="M147" i="8" s="1"/>
  <c r="K106" i="8"/>
  <c r="U3" i="4"/>
  <c r="I123" i="8" s="1"/>
  <c r="AA17" i="5"/>
  <c r="M166" i="8" s="1"/>
  <c r="AA30" i="6"/>
  <c r="M203" i="8" s="1"/>
  <c r="AA203" i="2"/>
  <c r="M91" i="8" s="1"/>
  <c r="AA70" i="2"/>
  <c r="AA142" i="2"/>
  <c r="AA140" i="2" s="1"/>
  <c r="M75" i="8" s="1"/>
  <c r="AA4" i="6"/>
  <c r="Y68" i="2"/>
  <c r="K60" i="8" s="1"/>
  <c r="AA69" i="2"/>
  <c r="AA97" i="2"/>
  <c r="AA137" i="2"/>
  <c r="Y131" i="2"/>
  <c r="AA139" i="2"/>
  <c r="AA146" i="2"/>
  <c r="AA134" i="2"/>
  <c r="W145" i="2"/>
  <c r="AA102" i="2"/>
  <c r="Y26" i="4"/>
  <c r="K127" i="8"/>
  <c r="K125" i="8"/>
  <c r="K124" i="8" s="1"/>
  <c r="AA64" i="3"/>
  <c r="M109" i="8" s="1"/>
  <c r="AA28" i="3"/>
  <c r="M100" i="8" s="1"/>
  <c r="AA39" i="2"/>
  <c r="M54" i="8" s="1"/>
  <c r="Y159" i="2"/>
  <c r="AA159" i="2" s="1"/>
  <c r="AA154" i="2" s="1"/>
  <c r="AA56" i="2"/>
  <c r="M58" i="8" s="1"/>
  <c r="AA73" i="2"/>
  <c r="M61" i="8" s="1"/>
  <c r="AA32" i="2"/>
  <c r="AA24" i="2"/>
  <c r="AA28" i="2"/>
  <c r="AA23" i="2"/>
  <c r="AA22" i="2"/>
  <c r="AA31" i="2"/>
  <c r="AA100" i="3"/>
  <c r="M116" i="8" s="1"/>
  <c r="Y67" i="3"/>
  <c r="AA5" i="3"/>
  <c r="M94" i="8" s="1"/>
  <c r="AA77" i="5"/>
  <c r="M184" i="8" s="1"/>
  <c r="AA163" i="2"/>
  <c r="AA160" i="2" s="1"/>
  <c r="M79" i="8" s="1"/>
  <c r="Y21" i="3"/>
  <c r="K98" i="8" s="1"/>
  <c r="AA85" i="2"/>
  <c r="M63" i="8" s="1"/>
  <c r="K63" i="8"/>
  <c r="AA118" i="2"/>
  <c r="AA115" i="2"/>
  <c r="AA108" i="2"/>
  <c r="AA96" i="2"/>
  <c r="M125" i="8"/>
  <c r="AA62" i="2"/>
  <c r="AA61" i="2"/>
  <c r="AA38" i="2"/>
  <c r="AA37" i="2"/>
  <c r="AA36" i="2"/>
  <c r="AA35" i="2"/>
  <c r="AA33" i="2"/>
  <c r="AA27" i="2"/>
  <c r="AA26" i="2"/>
  <c r="AA25" i="2"/>
  <c r="AA19" i="2"/>
  <c r="AA14" i="2"/>
  <c r="AA13" i="2"/>
  <c r="AA147" i="2"/>
  <c r="AA82" i="4"/>
  <c r="M143" i="8" s="1"/>
  <c r="M205" i="8"/>
  <c r="Y126" i="2"/>
  <c r="K72" i="8" s="1"/>
  <c r="M185" i="8"/>
  <c r="M163" i="8"/>
  <c r="K162" i="8"/>
  <c r="K147" i="8"/>
  <c r="M145" i="8"/>
  <c r="AA135" i="4"/>
  <c r="M153" i="8" s="1"/>
  <c r="M124" i="8"/>
  <c r="AA26" i="4"/>
  <c r="M127" i="8" s="1"/>
  <c r="M154" i="8"/>
  <c r="AA124" i="3"/>
  <c r="M120" i="8" s="1"/>
  <c r="M119" i="8"/>
  <c r="M121" i="8"/>
  <c r="Y4" i="3"/>
  <c r="AA11" i="3"/>
  <c r="K122" i="8"/>
  <c r="K101" i="8"/>
  <c r="K111" i="8"/>
  <c r="AA67" i="3"/>
  <c r="M110" i="8" s="1"/>
  <c r="M112" i="8"/>
  <c r="AA33" i="3"/>
  <c r="M101" i="8" s="1"/>
  <c r="K79" i="8"/>
  <c r="AA77" i="2"/>
  <c r="M62" i="8" s="1"/>
  <c r="L119" i="2"/>
  <c r="AA93" i="2"/>
  <c r="K69" i="8"/>
  <c r="AA148" i="2"/>
  <c r="M77" i="8" s="1"/>
  <c r="AA124" i="2"/>
  <c r="M71" i="8" s="1"/>
  <c r="AA49" i="2"/>
  <c r="M56" i="8" s="1"/>
  <c r="U3" i="6"/>
  <c r="I198" i="8" s="1"/>
  <c r="M9" i="7" s="1"/>
  <c r="U160" i="2"/>
  <c r="I79" i="8" s="1"/>
  <c r="I93" i="8"/>
  <c r="W192" i="2"/>
  <c r="H192" i="2" s="1"/>
  <c r="J119" i="2"/>
  <c r="L29" i="2"/>
  <c r="H52" i="8" s="1"/>
  <c r="J34" i="2"/>
  <c r="E53" i="8" s="1"/>
  <c r="U34" i="2"/>
  <c r="I53" i="8" s="1"/>
  <c r="W126" i="2"/>
  <c r="Y145" i="2"/>
  <c r="K76" i="8" s="1"/>
  <c r="W148" i="2"/>
  <c r="J12" i="2"/>
  <c r="E49" i="8" s="1"/>
  <c r="U56" i="2"/>
  <c r="I58" i="8" s="1"/>
  <c r="I88" i="8"/>
  <c r="Y43" i="2"/>
  <c r="K55" i="8" s="1"/>
  <c r="AA44" i="2"/>
  <c r="S17" i="2"/>
  <c r="W17" i="2"/>
  <c r="K143" i="8"/>
  <c r="I96" i="8"/>
  <c r="I103" i="8"/>
  <c r="I104" i="8"/>
  <c r="I105" i="8"/>
  <c r="S18" i="2"/>
  <c r="Y18" i="2" s="1"/>
  <c r="W18" i="2"/>
  <c r="Y29" i="2"/>
  <c r="K52" i="8" s="1"/>
  <c r="AA30" i="2"/>
  <c r="U39" i="2"/>
  <c r="I54" i="8" s="1"/>
  <c r="U43" i="2"/>
  <c r="I55" i="8" s="1"/>
  <c r="I120" i="8"/>
  <c r="AA23" i="3"/>
  <c r="Y52" i="2"/>
  <c r="AA55" i="2"/>
  <c r="H73" i="8"/>
  <c r="E74" i="8"/>
  <c r="E73" i="8" s="1"/>
  <c r="J130" i="2"/>
  <c r="H198" i="8"/>
  <c r="P9" i="7" s="1"/>
  <c r="U164" i="2"/>
  <c r="I81" i="8"/>
  <c r="I80" i="8" s="1"/>
  <c r="Y117" i="2"/>
  <c r="I116" i="8"/>
  <c r="I110" i="8"/>
  <c r="M89" i="8"/>
  <c r="U3" i="5"/>
  <c r="I161" i="8" s="1"/>
  <c r="M155" i="8"/>
  <c r="U77" i="2"/>
  <c r="I62" i="8" s="1"/>
  <c r="U124" i="3"/>
  <c r="W124" i="3"/>
  <c r="H124" i="3" s="1"/>
  <c r="W33" i="3"/>
  <c r="H33" i="3" s="1"/>
  <c r="W164" i="2"/>
  <c r="H164" i="2" s="1"/>
  <c r="K81" i="8"/>
  <c r="U126" i="2"/>
  <c r="I72" i="8" s="1"/>
  <c r="AA127" i="2"/>
  <c r="Y122" i="2"/>
  <c r="AA123" i="2"/>
  <c r="M69" i="8"/>
  <c r="L3" i="3"/>
  <c r="H92" i="8" s="1"/>
  <c r="P6" i="7" s="1"/>
  <c r="Y116" i="2"/>
  <c r="U106" i="2"/>
  <c r="I67" i="8" s="1"/>
  <c r="AA103" i="2"/>
  <c r="U154" i="2"/>
  <c r="I78" i="8" s="1"/>
  <c r="W155" i="2"/>
  <c r="W154" i="2" s="1"/>
  <c r="U148" i="2"/>
  <c r="W140" i="2"/>
  <c r="U140" i="2"/>
  <c r="I75" i="8" s="1"/>
  <c r="L130" i="2"/>
  <c r="W132" i="2"/>
  <c r="W131" i="2" s="1"/>
  <c r="U131" i="2"/>
  <c r="I74" i="8" s="1"/>
  <c r="U67" i="3"/>
  <c r="W67" i="3"/>
  <c r="H67" i="3" s="1"/>
  <c r="K94" i="8"/>
  <c r="W100" i="3"/>
  <c r="H100" i="3" s="1"/>
  <c r="U100" i="3"/>
  <c r="J3" i="3"/>
  <c r="E92" i="8" s="1"/>
  <c r="E6" i="7" s="1"/>
  <c r="U192" i="2"/>
  <c r="W3" i="6"/>
  <c r="W68" i="2"/>
  <c r="U68" i="2"/>
  <c r="I60" i="8" s="1"/>
  <c r="U60" i="2"/>
  <c r="I59" i="8" s="1"/>
  <c r="W52" i="2"/>
  <c r="U52" i="2"/>
  <c r="I57" i="8" s="1"/>
  <c r="W40" i="2"/>
  <c r="W39" i="2" s="1"/>
  <c r="J29" i="2"/>
  <c r="E52" i="8" s="1"/>
  <c r="W24" i="2"/>
  <c r="U22" i="2"/>
  <c r="W22" i="2" s="1"/>
  <c r="U19" i="2"/>
  <c r="W19" i="2" s="1"/>
  <c r="W14" i="2"/>
  <c r="U13" i="2"/>
  <c r="U12" i="2" s="1"/>
  <c r="I49" i="8" s="1"/>
  <c r="J5" i="2"/>
  <c r="E48" i="8" s="1"/>
  <c r="W3" i="5"/>
  <c r="W3" i="4"/>
  <c r="U45" i="3"/>
  <c r="W45" i="3"/>
  <c r="H45" i="3" s="1"/>
  <c r="U15" i="3"/>
  <c r="W15" i="3"/>
  <c r="H15" i="3" s="1"/>
  <c r="U4" i="3"/>
  <c r="W4" i="3"/>
  <c r="H4" i="3" s="1"/>
  <c r="I69" i="8"/>
  <c r="W121" i="2"/>
  <c r="W120" i="2" s="1"/>
  <c r="S20" i="2"/>
  <c r="Y20" i="2" s="1"/>
  <c r="L39" i="2"/>
  <c r="H54" i="8" s="1"/>
  <c r="W86" i="2"/>
  <c r="W85" i="2" s="1"/>
  <c r="U85" i="2"/>
  <c r="I63" i="8" s="1"/>
  <c r="U30" i="2"/>
  <c r="W77" i="2"/>
  <c r="Y21" i="2"/>
  <c r="K51" i="8" s="1"/>
  <c r="W31" i="2"/>
  <c r="Y34" i="2"/>
  <c r="K53" i="8" s="1"/>
  <c r="W74" i="2"/>
  <c r="W73" i="2" s="1"/>
  <c r="U73" i="2"/>
  <c r="I61" i="8" s="1"/>
  <c r="J21" i="2"/>
  <c r="E51" i="8" s="1"/>
  <c r="L21" i="2"/>
  <c r="H51" i="8" s="1"/>
  <c r="W125" i="2"/>
  <c r="W124" i="2" s="1"/>
  <c r="U124" i="2"/>
  <c r="I71" i="8" s="1"/>
  <c r="W60" i="2"/>
  <c r="U25" i="2"/>
  <c r="W25" i="2" s="1"/>
  <c r="J39" i="2"/>
  <c r="E54" i="8" s="1"/>
  <c r="L12" i="2"/>
  <c r="H49" i="8" s="1"/>
  <c r="W56" i="2"/>
  <c r="U92" i="2"/>
  <c r="I65" i="8" s="1"/>
  <c r="W92" i="2"/>
  <c r="W106" i="2"/>
  <c r="W102" i="2"/>
  <c r="W101" i="2" s="1"/>
  <c r="U101" i="2"/>
  <c r="I66" i="8" s="1"/>
  <c r="W16" i="2"/>
  <c r="U23" i="2"/>
  <c r="W23" i="2" s="1"/>
  <c r="S16" i="2"/>
  <c r="K39" i="2"/>
  <c r="V7" i="2"/>
  <c r="U27" i="2"/>
  <c r="W27" i="2" s="1"/>
  <c r="W33" i="2"/>
  <c r="W43" i="2"/>
  <c r="L5" i="2"/>
  <c r="H48" i="8" s="1"/>
  <c r="U26" i="2"/>
  <c r="W26" i="2" s="1"/>
  <c r="W32" i="2"/>
  <c r="U28" i="2"/>
  <c r="W28" i="2" s="1"/>
  <c r="L34" i="2"/>
  <c r="H53" i="8" s="1"/>
  <c r="W35" i="2"/>
  <c r="W34" i="2" s="1"/>
  <c r="Y12" i="2"/>
  <c r="K49" i="8" s="1"/>
  <c r="R7" i="2"/>
  <c r="R8" i="2"/>
  <c r="U8" i="2" s="1"/>
  <c r="W8" i="2" s="1"/>
  <c r="R9" i="2"/>
  <c r="W9" i="2" s="1"/>
  <c r="R10" i="2"/>
  <c r="W10" i="2" s="1"/>
  <c r="R11" i="2"/>
  <c r="S6" i="1"/>
  <c r="R7" i="1"/>
  <c r="U7" i="1" s="1"/>
  <c r="W7" i="1" s="1"/>
  <c r="R8" i="1"/>
  <c r="U8" i="1" s="1"/>
  <c r="G100" i="2"/>
  <c r="T175" i="1"/>
  <c r="R211" i="1"/>
  <c r="R210" i="1"/>
  <c r="R208" i="1"/>
  <c r="R207" i="1"/>
  <c r="S207" i="1" s="1"/>
  <c r="Y207" i="1" s="1"/>
  <c r="R205" i="1"/>
  <c r="S205" i="1" s="1"/>
  <c r="Y205" i="1" s="1"/>
  <c r="R204" i="1"/>
  <c r="S204" i="1" s="1"/>
  <c r="Y204" i="1" s="1"/>
  <c r="R202" i="1"/>
  <c r="S202" i="1" s="1"/>
  <c r="Y202" i="1" s="1"/>
  <c r="R201" i="1"/>
  <c r="S201" i="1" s="1"/>
  <c r="Y201" i="1" s="1"/>
  <c r="R200" i="1"/>
  <c r="S200" i="1" s="1"/>
  <c r="Y200" i="1" s="1"/>
  <c r="R198" i="1"/>
  <c r="S198" i="1" s="1"/>
  <c r="Y198" i="1" s="1"/>
  <c r="R197" i="1"/>
  <c r="U197" i="1" s="1"/>
  <c r="W197" i="1" s="1"/>
  <c r="R196" i="1"/>
  <c r="S196" i="1" s="1"/>
  <c r="Y196" i="1" s="1"/>
  <c r="R194" i="1"/>
  <c r="S194" i="1" s="1"/>
  <c r="R193" i="1"/>
  <c r="U193" i="1" s="1"/>
  <c r="R191" i="1"/>
  <c r="U191" i="1" s="1"/>
  <c r="W191" i="1" s="1"/>
  <c r="R190" i="1"/>
  <c r="S190" i="1" s="1"/>
  <c r="Y190" i="1" s="1"/>
  <c r="R189" i="1"/>
  <c r="U189" i="1" s="1"/>
  <c r="W189" i="1" s="1"/>
  <c r="R188" i="1"/>
  <c r="S188" i="1" s="1"/>
  <c r="Y188" i="1" s="1"/>
  <c r="R187" i="1"/>
  <c r="S187" i="1" s="1"/>
  <c r="R185" i="1"/>
  <c r="S185" i="1" s="1"/>
  <c r="Y185" i="1" s="1"/>
  <c r="R183" i="1"/>
  <c r="W183" i="1" s="1"/>
  <c r="R182" i="1"/>
  <c r="S182" i="1" s="1"/>
  <c r="Y182" i="1" s="1"/>
  <c r="R181" i="1"/>
  <c r="U181" i="1" s="1"/>
  <c r="W181" i="1" s="1"/>
  <c r="Y180" i="1"/>
  <c r="R178" i="1"/>
  <c r="S178" i="1" s="1"/>
  <c r="Y178" i="1" s="1"/>
  <c r="R177" i="1"/>
  <c r="W177" i="1" s="1"/>
  <c r="R176" i="1"/>
  <c r="S176" i="1" s="1"/>
  <c r="Y176" i="1" s="1"/>
  <c r="R174" i="1"/>
  <c r="S174" i="1" s="1"/>
  <c r="Y174" i="1" s="1"/>
  <c r="R173" i="1"/>
  <c r="S173" i="1" s="1"/>
  <c r="Y173" i="1" s="1"/>
  <c r="H45" i="8"/>
  <c r="L208" i="1"/>
  <c r="L207" i="1"/>
  <c r="J207" i="1"/>
  <c r="L204" i="1"/>
  <c r="L205" i="1"/>
  <c r="J205" i="1"/>
  <c r="J204" i="1"/>
  <c r="L202" i="1"/>
  <c r="L201" i="1"/>
  <c r="L200" i="1"/>
  <c r="J202" i="1"/>
  <c r="J201" i="1"/>
  <c r="J200" i="1"/>
  <c r="L198" i="1"/>
  <c r="L197" i="1"/>
  <c r="L196" i="1"/>
  <c r="J198" i="1"/>
  <c r="J197" i="1"/>
  <c r="J196" i="1"/>
  <c r="J194" i="1"/>
  <c r="L194" i="1"/>
  <c r="L193" i="1"/>
  <c r="J193" i="1"/>
  <c r="L189" i="1"/>
  <c r="L191" i="1"/>
  <c r="L190" i="1"/>
  <c r="L188" i="1"/>
  <c r="L187" i="1"/>
  <c r="J191" i="1"/>
  <c r="J190" i="1"/>
  <c r="J189" i="1"/>
  <c r="J188" i="1"/>
  <c r="J187" i="1"/>
  <c r="L185" i="1"/>
  <c r="L184" i="1" s="1"/>
  <c r="H38" i="8" s="1"/>
  <c r="J185" i="1"/>
  <c r="J184" i="1" s="1"/>
  <c r="E38" i="8" s="1"/>
  <c r="L183" i="1"/>
  <c r="L182" i="1"/>
  <c r="L181" i="1"/>
  <c r="L180" i="1"/>
  <c r="J183" i="1"/>
  <c r="J182" i="1"/>
  <c r="J181" i="1"/>
  <c r="J180" i="1"/>
  <c r="L178" i="1"/>
  <c r="L177" i="1"/>
  <c r="L176" i="1"/>
  <c r="J178" i="1"/>
  <c r="J176" i="1"/>
  <c r="L174" i="1"/>
  <c r="L173" i="1"/>
  <c r="J177" i="1"/>
  <c r="J174" i="1"/>
  <c r="J173" i="1"/>
  <c r="Z166" i="1"/>
  <c r="L170" i="1"/>
  <c r="L169" i="1"/>
  <c r="L168" i="1"/>
  <c r="L167" i="1"/>
  <c r="K168" i="1"/>
  <c r="K169" i="1"/>
  <c r="K170" i="1"/>
  <c r="K167" i="1"/>
  <c r="J170" i="1"/>
  <c r="J169" i="1"/>
  <c r="J168" i="1"/>
  <c r="J167" i="1"/>
  <c r="L165" i="1"/>
  <c r="L164" i="1"/>
  <c r="L163" i="1"/>
  <c r="L162" i="1"/>
  <c r="L161" i="1"/>
  <c r="J164" i="1"/>
  <c r="J162" i="1"/>
  <c r="J163" i="1"/>
  <c r="J165" i="1"/>
  <c r="J161" i="1"/>
  <c r="L156" i="1"/>
  <c r="L154" i="1"/>
  <c r="L159" i="1"/>
  <c r="L157" i="1"/>
  <c r="L155" i="1"/>
  <c r="J159" i="1"/>
  <c r="J157" i="1"/>
  <c r="J156" i="1"/>
  <c r="J155" i="1"/>
  <c r="L152" i="1"/>
  <c r="L150" i="1"/>
  <c r="J152" i="1"/>
  <c r="J150" i="1"/>
  <c r="L147" i="1"/>
  <c r="L146" i="1"/>
  <c r="L145" i="1"/>
  <c r="L144" i="1"/>
  <c r="J147" i="1"/>
  <c r="J146" i="1"/>
  <c r="J145" i="1"/>
  <c r="J144" i="1"/>
  <c r="L142" i="1"/>
  <c r="L141" i="1"/>
  <c r="J142" i="1"/>
  <c r="J141" i="1"/>
  <c r="L139" i="1"/>
  <c r="L137" i="1"/>
  <c r="L135" i="1"/>
  <c r="L133" i="1"/>
  <c r="L132" i="1"/>
  <c r="J139" i="1"/>
  <c r="J137" i="1"/>
  <c r="J135" i="1"/>
  <c r="J133" i="1"/>
  <c r="J132" i="1"/>
  <c r="R165" i="1"/>
  <c r="U165" i="1" s="1"/>
  <c r="W165" i="1" s="1"/>
  <c r="R168" i="1"/>
  <c r="R170" i="1"/>
  <c r="R169" i="1"/>
  <c r="S169" i="1" s="1"/>
  <c r="Y169" i="1" s="1"/>
  <c r="R167" i="1"/>
  <c r="S167" i="1" s="1"/>
  <c r="Y167" i="1" s="1"/>
  <c r="R164" i="1"/>
  <c r="R163" i="1"/>
  <c r="S163" i="1" s="1"/>
  <c r="Y163" i="1" s="1"/>
  <c r="R162" i="1"/>
  <c r="S162" i="1" s="1"/>
  <c r="Y162" i="1" s="1"/>
  <c r="R161" i="1"/>
  <c r="S161" i="1" s="1"/>
  <c r="Y161" i="1" s="1"/>
  <c r="R159" i="1"/>
  <c r="S159" i="1" s="1"/>
  <c r="Y159" i="1" s="1"/>
  <c r="R158" i="1"/>
  <c r="S158" i="1" s="1"/>
  <c r="AA158" i="1" s="1"/>
  <c r="R157" i="1"/>
  <c r="S157" i="1" s="1"/>
  <c r="Y157" i="1" s="1"/>
  <c r="R156" i="1"/>
  <c r="S156" i="1" s="1"/>
  <c r="Y156" i="1" s="1"/>
  <c r="R155" i="1"/>
  <c r="S155" i="1" s="1"/>
  <c r="Y155" i="1" s="1"/>
  <c r="R154" i="1"/>
  <c r="S154" i="1" s="1"/>
  <c r="Y154" i="1" s="1"/>
  <c r="R152" i="1"/>
  <c r="S152" i="1" s="1"/>
  <c r="Y152" i="1" s="1"/>
  <c r="R151" i="1"/>
  <c r="R150" i="1"/>
  <c r="S150" i="1" s="1"/>
  <c r="Y150" i="1" s="1"/>
  <c r="R149" i="1"/>
  <c r="R147" i="1"/>
  <c r="S147" i="1" s="1"/>
  <c r="Y147" i="1" s="1"/>
  <c r="R146" i="1"/>
  <c r="S146" i="1" s="1"/>
  <c r="Y146" i="1" s="1"/>
  <c r="R145" i="1"/>
  <c r="S145" i="1" s="1"/>
  <c r="Y145" i="1" s="1"/>
  <c r="R144" i="1"/>
  <c r="S144" i="1" s="1"/>
  <c r="Y144" i="1" s="1"/>
  <c r="R142" i="1"/>
  <c r="S142" i="1" s="1"/>
  <c r="Y142" i="1" s="1"/>
  <c r="R141" i="1"/>
  <c r="S141" i="1" s="1"/>
  <c r="Y141" i="1" s="1"/>
  <c r="R139" i="1"/>
  <c r="S139" i="1" s="1"/>
  <c r="Y139" i="1" s="1"/>
  <c r="R137" i="1"/>
  <c r="S137" i="1" s="1"/>
  <c r="Y137" i="1" s="1"/>
  <c r="R136" i="1"/>
  <c r="S136" i="1" s="1"/>
  <c r="R135" i="1"/>
  <c r="S135" i="1" s="1"/>
  <c r="Y135" i="1" s="1"/>
  <c r="R134" i="1"/>
  <c r="R133" i="1"/>
  <c r="R132" i="1"/>
  <c r="S132" i="1" s="1"/>
  <c r="R129" i="1"/>
  <c r="R128" i="1"/>
  <c r="U127" i="1"/>
  <c r="R126" i="1"/>
  <c r="V124" i="1"/>
  <c r="J127" i="1"/>
  <c r="R124" i="1"/>
  <c r="S124" i="1" s="1"/>
  <c r="Y124" i="1" s="1"/>
  <c r="R123" i="1"/>
  <c r="S123" i="1" s="1"/>
  <c r="Y123" i="1" s="1"/>
  <c r="R122" i="1"/>
  <c r="S122" i="1" s="1"/>
  <c r="Y122" i="1" s="1"/>
  <c r="R121" i="1"/>
  <c r="R120" i="1"/>
  <c r="S120" i="1" s="1"/>
  <c r="Y120" i="1" s="1"/>
  <c r="R119" i="1"/>
  <c r="S119" i="1" s="1"/>
  <c r="Y119" i="1" s="1"/>
  <c r="R118" i="1"/>
  <c r="S118" i="1" s="1"/>
  <c r="Y118" i="1" s="1"/>
  <c r="R117" i="1"/>
  <c r="S117" i="1" s="1"/>
  <c r="Y117" i="1" s="1"/>
  <c r="R116" i="1"/>
  <c r="S116" i="1" s="1"/>
  <c r="Y116" i="1" s="1"/>
  <c r="R115" i="1"/>
  <c r="S115" i="1" s="1"/>
  <c r="Y115" i="1" s="1"/>
  <c r="R114" i="1"/>
  <c r="S114" i="1" s="1"/>
  <c r="Y114" i="1" s="1"/>
  <c r="R113" i="1"/>
  <c r="S113" i="1" s="1"/>
  <c r="Y113" i="1" s="1"/>
  <c r="R112" i="1"/>
  <c r="S112" i="1" s="1"/>
  <c r="R111" i="1"/>
  <c r="R110" i="1"/>
  <c r="R109" i="1"/>
  <c r="S109" i="1" s="1"/>
  <c r="R108" i="1"/>
  <c r="S108" i="1" s="1"/>
  <c r="S107" i="1"/>
  <c r="R106" i="1"/>
  <c r="S106" i="1" s="1"/>
  <c r="Y106" i="1" s="1"/>
  <c r="R104" i="1"/>
  <c r="U104" i="1" s="1"/>
  <c r="R103" i="1"/>
  <c r="S103" i="1" s="1"/>
  <c r="Y103" i="1" s="1"/>
  <c r="R101" i="1"/>
  <c r="S101" i="1" s="1"/>
  <c r="Y101" i="1" s="1"/>
  <c r="R100" i="1"/>
  <c r="U100" i="1" s="1"/>
  <c r="L120" i="1"/>
  <c r="L124" i="1"/>
  <c r="L123" i="1"/>
  <c r="L122" i="1"/>
  <c r="L119" i="1"/>
  <c r="L118" i="1"/>
  <c r="L117" i="1"/>
  <c r="L116" i="1"/>
  <c r="L115" i="1"/>
  <c r="L114" i="1"/>
  <c r="L113" i="1"/>
  <c r="L106" i="1"/>
  <c r="J113" i="1"/>
  <c r="J114" i="1"/>
  <c r="J115" i="1"/>
  <c r="J116" i="1"/>
  <c r="J117" i="1"/>
  <c r="J118" i="1"/>
  <c r="J119" i="1"/>
  <c r="J120" i="1"/>
  <c r="J122" i="1"/>
  <c r="J123" i="1"/>
  <c r="J124" i="1"/>
  <c r="J106" i="1"/>
  <c r="L103" i="1"/>
  <c r="L104" i="1"/>
  <c r="J104" i="1"/>
  <c r="J103" i="1"/>
  <c r="L101" i="1"/>
  <c r="J101" i="1"/>
  <c r="L100" i="1"/>
  <c r="J100" i="1"/>
  <c r="R94" i="1"/>
  <c r="R95" i="1"/>
  <c r="R96" i="1"/>
  <c r="U96" i="1" s="1"/>
  <c r="W96" i="1" s="1"/>
  <c r="R97" i="1"/>
  <c r="W97" i="1" s="1"/>
  <c r="R98" i="1"/>
  <c r="U98" i="1" s="1"/>
  <c r="W98" i="1" s="1"/>
  <c r="L94" i="1"/>
  <c r="L95" i="1"/>
  <c r="L96" i="1"/>
  <c r="L97" i="1"/>
  <c r="L98" i="1"/>
  <c r="L93" i="1"/>
  <c r="J94" i="1"/>
  <c r="J95" i="1"/>
  <c r="J96" i="1"/>
  <c r="J97" i="1"/>
  <c r="J98" i="1"/>
  <c r="J93" i="1"/>
  <c r="R89" i="1"/>
  <c r="U89" i="1" s="1"/>
  <c r="R90" i="1"/>
  <c r="U90" i="1" s="1"/>
  <c r="W90" i="1" s="1"/>
  <c r="R88" i="1"/>
  <c r="S88" i="1" s="1"/>
  <c r="L89" i="1"/>
  <c r="L90" i="1"/>
  <c r="J89" i="1"/>
  <c r="J90" i="1"/>
  <c r="L78" i="1"/>
  <c r="J81" i="1"/>
  <c r="J82" i="1"/>
  <c r="J83" i="1"/>
  <c r="J84" i="1"/>
  <c r="J85" i="1"/>
  <c r="J86" i="1"/>
  <c r="J78" i="1"/>
  <c r="J7" i="1"/>
  <c r="J67" i="1"/>
  <c r="J68" i="1"/>
  <c r="J70" i="1"/>
  <c r="J73" i="1"/>
  <c r="J74" i="1"/>
  <c r="J59" i="1"/>
  <c r="J60" i="1"/>
  <c r="J61" i="1"/>
  <c r="J56" i="1"/>
  <c r="R79" i="1"/>
  <c r="S79" i="1" s="1"/>
  <c r="R80" i="1"/>
  <c r="S80" i="1" s="1"/>
  <c r="R81" i="1"/>
  <c r="U81" i="1" s="1"/>
  <c r="W81" i="1" s="1"/>
  <c r="R82" i="1"/>
  <c r="U82" i="1" s="1"/>
  <c r="W82" i="1" s="1"/>
  <c r="R83" i="1"/>
  <c r="S83" i="1" s="1"/>
  <c r="Y83" i="1" s="1"/>
  <c r="R84" i="1"/>
  <c r="U84" i="1" s="1"/>
  <c r="W84" i="1" s="1"/>
  <c r="R85" i="1"/>
  <c r="S85" i="1" s="1"/>
  <c r="Y85" i="1" s="1"/>
  <c r="R86" i="1"/>
  <c r="U86" i="1" s="1"/>
  <c r="W86" i="1" s="1"/>
  <c r="R78" i="1"/>
  <c r="S78" i="1" s="1"/>
  <c r="Y78" i="1" s="1"/>
  <c r="L81" i="1"/>
  <c r="L82" i="1"/>
  <c r="L83" i="1"/>
  <c r="L84" i="1"/>
  <c r="L85" i="1"/>
  <c r="L86" i="1"/>
  <c r="K74" i="8" l="1"/>
  <c r="AA85" i="1"/>
  <c r="K153" i="8"/>
  <c r="W127" i="1"/>
  <c r="W125" i="1" s="1"/>
  <c r="U125" i="1"/>
  <c r="I25" i="8" s="1"/>
  <c r="S121" i="1"/>
  <c r="U121" i="1"/>
  <c r="W121" i="1" s="1"/>
  <c r="K57" i="8"/>
  <c r="S210" i="1"/>
  <c r="Y210" i="1" s="1"/>
  <c r="AA210" i="1" s="1"/>
  <c r="U210" i="1"/>
  <c r="S211" i="1"/>
  <c r="Y211" i="1" s="1"/>
  <c r="AA211" i="1" s="1"/>
  <c r="U211" i="1"/>
  <c r="AA3" i="6"/>
  <c r="M198" i="8" s="1"/>
  <c r="AA131" i="2"/>
  <c r="M74" i="8" s="1"/>
  <c r="AA68" i="2"/>
  <c r="M60" i="8" s="1"/>
  <c r="M199" i="8"/>
  <c r="AA188" i="1"/>
  <c r="AA178" i="1"/>
  <c r="AA202" i="1"/>
  <c r="AA154" i="1"/>
  <c r="AA159" i="1"/>
  <c r="AA78" i="1"/>
  <c r="AA145" i="2"/>
  <c r="M76" i="8" s="1"/>
  <c r="AA45" i="3"/>
  <c r="M105" i="8" s="1"/>
  <c r="AA4" i="3"/>
  <c r="M93" i="8" s="1"/>
  <c r="AA60" i="2"/>
  <c r="M59" i="8" s="1"/>
  <c r="Y154" i="2"/>
  <c r="K78" i="8" s="1"/>
  <c r="Y15" i="3"/>
  <c r="AA156" i="1"/>
  <c r="S168" i="1"/>
  <c r="Y168" i="1" s="1"/>
  <c r="AA168" i="1" s="1"/>
  <c r="U168" i="1"/>
  <c r="W168" i="1" s="1"/>
  <c r="S151" i="1"/>
  <c r="U151" i="1"/>
  <c r="W151" i="1" s="1"/>
  <c r="AA174" i="1"/>
  <c r="S208" i="1"/>
  <c r="Y208" i="1" s="1"/>
  <c r="S111" i="1"/>
  <c r="U111" i="1"/>
  <c r="W111" i="1" s="1"/>
  <c r="S170" i="1"/>
  <c r="Y170" i="1" s="1"/>
  <c r="U170" i="1"/>
  <c r="W170" i="1" s="1"/>
  <c r="AA21" i="2"/>
  <c r="M51" i="8" s="1"/>
  <c r="AA12" i="2"/>
  <c r="M49" i="8" s="1"/>
  <c r="Y187" i="1"/>
  <c r="Y172" i="1"/>
  <c r="AA167" i="1"/>
  <c r="S164" i="1"/>
  <c r="Y164" i="1" s="1"/>
  <c r="AA163" i="1"/>
  <c r="AA162" i="1"/>
  <c r="S134" i="1"/>
  <c r="W134" i="1"/>
  <c r="AA117" i="2"/>
  <c r="AA116" i="2"/>
  <c r="AA34" i="2"/>
  <c r="M53" i="8" s="1"/>
  <c r="AA18" i="2"/>
  <c r="AA20" i="2"/>
  <c r="AA124" i="1"/>
  <c r="AA123" i="1"/>
  <c r="AA122" i="1"/>
  <c r="AA120" i="1"/>
  <c r="AA119" i="1"/>
  <c r="AA118" i="1"/>
  <c r="AA117" i="1"/>
  <c r="AA116" i="1"/>
  <c r="AA115" i="1"/>
  <c r="AA114" i="1"/>
  <c r="AA113" i="1"/>
  <c r="AA106" i="1"/>
  <c r="AA103" i="1"/>
  <c r="AA102" i="1" s="1"/>
  <c r="M23" i="8" s="1"/>
  <c r="AA101" i="1"/>
  <c r="AA155" i="1"/>
  <c r="AA83" i="1"/>
  <c r="AA205" i="1"/>
  <c r="AA200" i="1"/>
  <c r="AA198" i="1"/>
  <c r="AA190" i="1"/>
  <c r="AA180" i="1"/>
  <c r="AA182" i="1"/>
  <c r="Y119" i="2"/>
  <c r="AA169" i="1"/>
  <c r="AA161" i="1"/>
  <c r="AA152" i="1"/>
  <c r="AA150" i="1"/>
  <c r="AA147" i="1"/>
  <c r="AA145" i="1"/>
  <c r="AA144" i="1"/>
  <c r="AA146" i="1"/>
  <c r="AA142" i="1"/>
  <c r="AA141" i="1"/>
  <c r="AA139" i="1"/>
  <c r="AA137" i="1"/>
  <c r="AA135" i="1"/>
  <c r="AA132" i="1"/>
  <c r="K110" i="8"/>
  <c r="K120" i="8"/>
  <c r="AA21" i="3"/>
  <c r="AA15" i="3" s="1"/>
  <c r="M96" i="8" s="1"/>
  <c r="M95" i="8"/>
  <c r="AA29" i="2"/>
  <c r="M52" i="8" s="1"/>
  <c r="AA43" i="2"/>
  <c r="M55" i="8" s="1"/>
  <c r="AA122" i="2"/>
  <c r="M70" i="8" s="1"/>
  <c r="AA101" i="2"/>
  <c r="M66" i="8" s="1"/>
  <c r="AA126" i="2"/>
  <c r="M72" i="8" s="1"/>
  <c r="M78" i="8"/>
  <c r="AA52" i="2"/>
  <c r="M57" i="8" s="1"/>
  <c r="U33" i="3"/>
  <c r="U3" i="3" s="1"/>
  <c r="I92" i="8" s="1"/>
  <c r="J172" i="1"/>
  <c r="E35" i="8" s="1"/>
  <c r="J199" i="1"/>
  <c r="E42" i="8" s="1"/>
  <c r="L203" i="1"/>
  <c r="H43" i="8" s="1"/>
  <c r="I101" i="8"/>
  <c r="S89" i="1"/>
  <c r="Y89" i="1" s="1"/>
  <c r="W13" i="2"/>
  <c r="W12" i="2" s="1"/>
  <c r="K93" i="8"/>
  <c r="L199" i="1"/>
  <c r="H42" i="8" s="1"/>
  <c r="M8" i="7"/>
  <c r="I68" i="8"/>
  <c r="M7" i="7"/>
  <c r="I77" i="8"/>
  <c r="U145" i="2"/>
  <c r="I76" i="8" s="1"/>
  <c r="I64" i="8"/>
  <c r="U103" i="1"/>
  <c r="W103" i="1" s="1"/>
  <c r="J195" i="1"/>
  <c r="E41" i="8" s="1"/>
  <c r="J175" i="1"/>
  <c r="E36" i="8" s="1"/>
  <c r="S149" i="1"/>
  <c r="Y149" i="1" s="1"/>
  <c r="U149" i="1"/>
  <c r="W149" i="1" s="1"/>
  <c r="W169" i="1"/>
  <c r="S90" i="1"/>
  <c r="Y90" i="1" s="1"/>
  <c r="L172" i="1"/>
  <c r="H35" i="8" s="1"/>
  <c r="W208" i="1"/>
  <c r="K70" i="8"/>
  <c r="J125" i="1"/>
  <c r="E25" i="8" s="1"/>
  <c r="U207" i="1"/>
  <c r="W207" i="1" s="1"/>
  <c r="U205" i="1"/>
  <c r="W205" i="1" s="1"/>
  <c r="J203" i="1"/>
  <c r="E43" i="8" s="1"/>
  <c r="L195" i="1"/>
  <c r="H41" i="8" s="1"/>
  <c r="L192" i="1"/>
  <c r="H40" i="8" s="1"/>
  <c r="J186" i="1"/>
  <c r="E39" i="8" s="1"/>
  <c r="L175" i="1"/>
  <c r="H36" i="8" s="1"/>
  <c r="U173" i="1"/>
  <c r="W173" i="1" s="1"/>
  <c r="S129" i="1"/>
  <c r="J166" i="1"/>
  <c r="E33" i="8" s="1"/>
  <c r="W159" i="1"/>
  <c r="S181" i="1"/>
  <c r="Y181" i="1" s="1"/>
  <c r="L179" i="1"/>
  <c r="H37" i="8" s="1"/>
  <c r="U180" i="1"/>
  <c r="W78" i="1"/>
  <c r="L125" i="1"/>
  <c r="H25" i="8" s="1"/>
  <c r="U162" i="1"/>
  <c r="W162" i="1" s="1"/>
  <c r="J192" i="1"/>
  <c r="E40" i="8" s="1"/>
  <c r="L206" i="1"/>
  <c r="H44" i="8" s="1"/>
  <c r="J87" i="1"/>
  <c r="E19" i="8" s="1"/>
  <c r="W120" i="1"/>
  <c r="U150" i="1"/>
  <c r="W150" i="1" s="1"/>
  <c r="J179" i="1"/>
  <c r="E37" i="8" s="1"/>
  <c r="U185" i="1"/>
  <c r="W185" i="1" s="1"/>
  <c r="W184" i="1" s="1"/>
  <c r="S84" i="1"/>
  <c r="Y84" i="1" s="1"/>
  <c r="U123" i="1"/>
  <c r="W123" i="1" s="1"/>
  <c r="W152" i="1"/>
  <c r="U187" i="1"/>
  <c r="AA207" i="1"/>
  <c r="AA201" i="1"/>
  <c r="AA196" i="1"/>
  <c r="AA185" i="1"/>
  <c r="Y184" i="1"/>
  <c r="K38" i="8" s="1"/>
  <c r="AA173" i="1"/>
  <c r="W193" i="1"/>
  <c r="AA204" i="1"/>
  <c r="Y203" i="1"/>
  <c r="K43" i="8" s="1"/>
  <c r="S81" i="1"/>
  <c r="S96" i="1"/>
  <c r="Y96" i="1" s="1"/>
  <c r="S110" i="1"/>
  <c r="U110" i="1"/>
  <c r="W110" i="1" s="1"/>
  <c r="U108" i="1"/>
  <c r="W108" i="1" s="1"/>
  <c r="J140" i="1"/>
  <c r="E28" i="8" s="1"/>
  <c r="U161" i="1"/>
  <c r="W161" i="1" s="1"/>
  <c r="L186" i="1"/>
  <c r="H39" i="8" s="1"/>
  <c r="J206" i="1"/>
  <c r="S191" i="1"/>
  <c r="Y191" i="1" s="1"/>
  <c r="U174" i="1"/>
  <c r="W174" i="1" s="1"/>
  <c r="U176" i="1"/>
  <c r="J102" i="1"/>
  <c r="E23" i="8" s="1"/>
  <c r="K166" i="1"/>
  <c r="J99" i="1"/>
  <c r="E22" i="8" s="1"/>
  <c r="S183" i="1"/>
  <c r="Y183" i="1" s="1"/>
  <c r="S197" i="1"/>
  <c r="Y197" i="1" s="1"/>
  <c r="U182" i="1"/>
  <c r="W182" i="1" s="1"/>
  <c r="U190" i="1"/>
  <c r="W190" i="1" s="1"/>
  <c r="U194" i="1"/>
  <c r="W194" i="1" s="1"/>
  <c r="U107" i="1"/>
  <c r="W107" i="1" s="1"/>
  <c r="E45" i="8"/>
  <c r="S189" i="1"/>
  <c r="Y189" i="1" s="1"/>
  <c r="S177" i="1"/>
  <c r="Y177" i="1" s="1"/>
  <c r="Y175" i="1" s="1"/>
  <c r="U198" i="1"/>
  <c r="W198" i="1" s="1"/>
  <c r="U147" i="1"/>
  <c r="W147" i="1" s="1"/>
  <c r="U157" i="1"/>
  <c r="W157" i="1" s="1"/>
  <c r="U201" i="1"/>
  <c r="W201" i="1" s="1"/>
  <c r="S104" i="1"/>
  <c r="Y104" i="1" s="1"/>
  <c r="U116" i="1"/>
  <c r="W116" i="1" s="1"/>
  <c r="L140" i="1"/>
  <c r="H28" i="8" s="1"/>
  <c r="U156" i="1"/>
  <c r="W156" i="1" s="1"/>
  <c r="U163" i="1"/>
  <c r="W163" i="1" s="1"/>
  <c r="S193" i="1"/>
  <c r="Y193" i="1" s="1"/>
  <c r="U178" i="1"/>
  <c r="W178" i="1" s="1"/>
  <c r="U202" i="1"/>
  <c r="W202" i="1" s="1"/>
  <c r="U94" i="1"/>
  <c r="W94" i="1" s="1"/>
  <c r="S94" i="1"/>
  <c r="Y94" i="1" s="1"/>
  <c r="U188" i="1"/>
  <c r="W188" i="1" s="1"/>
  <c r="W130" i="2"/>
  <c r="H130" i="2" s="1"/>
  <c r="L160" i="1"/>
  <c r="H32" i="8" s="1"/>
  <c r="L166" i="1"/>
  <c r="H33" i="8" s="1"/>
  <c r="U167" i="1"/>
  <c r="S165" i="1"/>
  <c r="Y165" i="1" s="1"/>
  <c r="W164" i="1"/>
  <c r="J160" i="1"/>
  <c r="E32" i="8" s="1"/>
  <c r="J153" i="1"/>
  <c r="E31" i="8" s="1"/>
  <c r="L153" i="1"/>
  <c r="H31" i="8" s="1"/>
  <c r="U144" i="1"/>
  <c r="W144" i="1" s="1"/>
  <c r="U146" i="1"/>
  <c r="W146" i="1" s="1"/>
  <c r="Y143" i="1"/>
  <c r="K29" i="8" s="1"/>
  <c r="U145" i="1"/>
  <c r="W145" i="1" s="1"/>
  <c r="J143" i="1"/>
  <c r="E29" i="8" s="1"/>
  <c r="L143" i="1"/>
  <c r="H29" i="8" s="1"/>
  <c r="Y140" i="1"/>
  <c r="K28" i="8" s="1"/>
  <c r="U141" i="1"/>
  <c r="U142" i="1"/>
  <c r="W142" i="1" s="1"/>
  <c r="U135" i="1"/>
  <c r="W135" i="1" s="1"/>
  <c r="U139" i="1"/>
  <c r="W139" i="1" s="1"/>
  <c r="S133" i="1"/>
  <c r="W133" i="1"/>
  <c r="U137" i="1"/>
  <c r="W137" i="1" s="1"/>
  <c r="Y153" i="1"/>
  <c r="U155" i="1"/>
  <c r="W155" i="1" s="1"/>
  <c r="U154" i="1"/>
  <c r="L87" i="1"/>
  <c r="H19" i="8" s="1"/>
  <c r="W89" i="1"/>
  <c r="W87" i="1" s="1"/>
  <c r="U87" i="1"/>
  <c r="I19" i="8" s="1"/>
  <c r="S86" i="1"/>
  <c r="Y86" i="1" s="1"/>
  <c r="W85" i="1"/>
  <c r="U83" i="1"/>
  <c r="W83" i="1" s="1"/>
  <c r="S82" i="1"/>
  <c r="Y82" i="1" s="1"/>
  <c r="W79" i="1"/>
  <c r="U29" i="2"/>
  <c r="I52" i="8" s="1"/>
  <c r="U21" i="2"/>
  <c r="I51" i="8" s="1"/>
  <c r="U15" i="2"/>
  <c r="I50" i="8" s="1"/>
  <c r="S8" i="2"/>
  <c r="Y8" i="2" s="1"/>
  <c r="W3" i="3"/>
  <c r="U124" i="1"/>
  <c r="W124" i="1" s="1"/>
  <c r="U122" i="1"/>
  <c r="W122" i="1" s="1"/>
  <c r="W119" i="1"/>
  <c r="U118" i="1"/>
  <c r="W118" i="1" s="1"/>
  <c r="U115" i="1"/>
  <c r="W115" i="1" s="1"/>
  <c r="U117" i="1"/>
  <c r="W117" i="1" s="1"/>
  <c r="W114" i="1"/>
  <c r="U113" i="1"/>
  <c r="W113" i="1" s="1"/>
  <c r="U112" i="1"/>
  <c r="W112" i="1" s="1"/>
  <c r="U109" i="1"/>
  <c r="W109" i="1" s="1"/>
  <c r="U106" i="1"/>
  <c r="W104" i="1"/>
  <c r="U101" i="1"/>
  <c r="W101" i="1" s="1"/>
  <c r="L102" i="1"/>
  <c r="H23" i="8" s="1"/>
  <c r="L99" i="1"/>
  <c r="H22" i="8" s="1"/>
  <c r="S95" i="1"/>
  <c r="S97" i="1"/>
  <c r="Y97" i="1" s="1"/>
  <c r="S98" i="1"/>
  <c r="Y98" i="1" s="1"/>
  <c r="L92" i="1"/>
  <c r="H21" i="8" s="1"/>
  <c r="J92" i="1"/>
  <c r="S9" i="2"/>
  <c r="Y9" i="2" s="1"/>
  <c r="W30" i="2"/>
  <c r="W29" i="2" s="1"/>
  <c r="Y6" i="2"/>
  <c r="W91" i="2"/>
  <c r="H91" i="2" s="1"/>
  <c r="W119" i="2"/>
  <c r="H119" i="2" s="1"/>
  <c r="W21" i="2"/>
  <c r="U119" i="2"/>
  <c r="U91" i="2"/>
  <c r="S11" i="2"/>
  <c r="Y11" i="2" s="1"/>
  <c r="U11" i="2"/>
  <c r="W11" i="2" s="1"/>
  <c r="S10" i="2"/>
  <c r="Y10" i="2" s="1"/>
  <c r="W15" i="2"/>
  <c r="S7" i="2"/>
  <c r="Y7" i="2" s="1"/>
  <c r="U7" i="2"/>
  <c r="S126" i="1"/>
  <c r="S128" i="1"/>
  <c r="S127" i="1"/>
  <c r="W100" i="1"/>
  <c r="S100" i="1"/>
  <c r="Y100" i="1" s="1"/>
  <c r="R71" i="1"/>
  <c r="R72" i="1"/>
  <c r="S72" i="1" s="1"/>
  <c r="R73" i="1"/>
  <c r="W73" i="1" s="1"/>
  <c r="S74" i="1"/>
  <c r="Y74" i="1" s="1"/>
  <c r="R75" i="1"/>
  <c r="S75" i="1" s="1"/>
  <c r="R76" i="1"/>
  <c r="S76" i="1" s="1"/>
  <c r="R65" i="1"/>
  <c r="R66" i="1"/>
  <c r="U66" i="1" s="1"/>
  <c r="R67" i="1"/>
  <c r="U67" i="1" s="1"/>
  <c r="W67" i="1" s="1"/>
  <c r="R68" i="1"/>
  <c r="U68" i="1" s="1"/>
  <c r="W68" i="1" s="1"/>
  <c r="R69" i="1"/>
  <c r="R70" i="1"/>
  <c r="S70" i="1" s="1"/>
  <c r="Y70" i="1" s="1"/>
  <c r="R59" i="1"/>
  <c r="U59" i="1" s="1"/>
  <c r="W59" i="1" s="1"/>
  <c r="R60" i="1"/>
  <c r="U60" i="1" s="1"/>
  <c r="W60" i="1" s="1"/>
  <c r="R61" i="1"/>
  <c r="U61" i="1" s="1"/>
  <c r="W61" i="1" s="1"/>
  <c r="R62" i="1"/>
  <c r="U62" i="1" s="1"/>
  <c r="W62" i="1" s="1"/>
  <c r="R63" i="1"/>
  <c r="S63" i="1" s="1"/>
  <c r="R64" i="1"/>
  <c r="S64" i="1" s="1"/>
  <c r="R54" i="1"/>
  <c r="U54" i="1" s="1"/>
  <c r="W54" i="1" s="1"/>
  <c r="R55" i="1"/>
  <c r="W55" i="1" s="1"/>
  <c r="R56" i="1"/>
  <c r="U56" i="1" s="1"/>
  <c r="W56" i="1" s="1"/>
  <c r="R53" i="1"/>
  <c r="S53" i="1" s="1"/>
  <c r="Y53" i="1" s="1"/>
  <c r="W49" i="1"/>
  <c r="S49" i="1"/>
  <c r="R50" i="1"/>
  <c r="S50" i="1" s="1"/>
  <c r="Y50" i="1" s="1"/>
  <c r="AA50" i="1" s="1"/>
  <c r="R51" i="1"/>
  <c r="W51" i="1" s="1"/>
  <c r="R46" i="1"/>
  <c r="U46" i="1" s="1"/>
  <c r="W46" i="1" s="1"/>
  <c r="R47" i="1"/>
  <c r="S47" i="1" s="1"/>
  <c r="Y47" i="1" s="1"/>
  <c r="AA47" i="1" s="1"/>
  <c r="R48" i="1"/>
  <c r="S48" i="1" s="1"/>
  <c r="Y48" i="1" s="1"/>
  <c r="R45" i="1"/>
  <c r="S45" i="1" s="1"/>
  <c r="L67" i="1"/>
  <c r="L68" i="1"/>
  <c r="L70" i="1"/>
  <c r="L72" i="1"/>
  <c r="L73" i="1"/>
  <c r="L74" i="1"/>
  <c r="L59" i="1"/>
  <c r="L60" i="1"/>
  <c r="L61" i="1"/>
  <c r="L53" i="1"/>
  <c r="L54" i="1"/>
  <c r="L55" i="1"/>
  <c r="L56" i="1"/>
  <c r="J54" i="1"/>
  <c r="J55" i="1"/>
  <c r="J53" i="1"/>
  <c r="L47" i="1"/>
  <c r="L46" i="1"/>
  <c r="L48" i="1"/>
  <c r="L49" i="1"/>
  <c r="L50" i="1"/>
  <c r="J46" i="1"/>
  <c r="J47" i="1"/>
  <c r="J48" i="1"/>
  <c r="J50" i="1"/>
  <c r="R41" i="1"/>
  <c r="U41" i="1" s="1"/>
  <c r="W41" i="1" s="1"/>
  <c r="R42" i="1"/>
  <c r="W42" i="1" s="1"/>
  <c r="R43" i="1"/>
  <c r="S43" i="1" s="1"/>
  <c r="Y43" i="1" s="1"/>
  <c r="R40" i="1"/>
  <c r="S40" i="1" s="1"/>
  <c r="Y40" i="1" s="1"/>
  <c r="L41" i="1"/>
  <c r="L42" i="1"/>
  <c r="L43" i="1"/>
  <c r="L40" i="1"/>
  <c r="J41" i="1"/>
  <c r="J42" i="1"/>
  <c r="J43" i="1"/>
  <c r="J40" i="1"/>
  <c r="L38" i="1"/>
  <c r="L37" i="1"/>
  <c r="J38" i="1"/>
  <c r="J37" i="1"/>
  <c r="R38" i="1"/>
  <c r="S38" i="1" s="1"/>
  <c r="Y38" i="1" s="1"/>
  <c r="R37" i="1"/>
  <c r="U37" i="1" s="1"/>
  <c r="R34" i="1"/>
  <c r="S34" i="1" s="1"/>
  <c r="Y34" i="1" s="1"/>
  <c r="R35" i="1"/>
  <c r="S35" i="1" s="1"/>
  <c r="Y35" i="1" s="1"/>
  <c r="R33" i="1"/>
  <c r="R27" i="1"/>
  <c r="S27" i="1" s="1"/>
  <c r="Y27" i="1" s="1"/>
  <c r="L34" i="1"/>
  <c r="L35" i="1"/>
  <c r="J34" i="1"/>
  <c r="J35" i="1"/>
  <c r="L33" i="1"/>
  <c r="J33" i="1"/>
  <c r="Y130" i="2" l="1"/>
  <c r="Y77" i="1"/>
  <c r="Y5" i="2"/>
  <c r="Y209" i="1"/>
  <c r="K45" i="8" s="1"/>
  <c r="U209" i="1"/>
  <c r="E44" i="8"/>
  <c r="E34" i="8" s="1"/>
  <c r="J171" i="1"/>
  <c r="AA130" i="2"/>
  <c r="M73" i="8" s="1"/>
  <c r="K73" i="8"/>
  <c r="AA203" i="1"/>
  <c r="M43" i="8" s="1"/>
  <c r="AA48" i="1"/>
  <c r="AA140" i="1"/>
  <c r="M28" i="8" s="1"/>
  <c r="AA209" i="1"/>
  <c r="M45" i="8" s="1"/>
  <c r="AA53" i="1"/>
  <c r="AA153" i="1"/>
  <c r="M31" i="8" s="1"/>
  <c r="Y186" i="1"/>
  <c r="AA106" i="2"/>
  <c r="M67" i="8" s="1"/>
  <c r="AA172" i="1"/>
  <c r="M35" i="8" s="1"/>
  <c r="AA208" i="1"/>
  <c r="Y206" i="1"/>
  <c r="K44" i="8" s="1"/>
  <c r="Y166" i="1"/>
  <c r="K33" i="8" s="1"/>
  <c r="AA90" i="1"/>
  <c r="U166" i="1"/>
  <c r="I33" i="8" s="1"/>
  <c r="AA170" i="1"/>
  <c r="AA166" i="1" s="1"/>
  <c r="M33" i="8" s="1"/>
  <c r="AA187" i="1"/>
  <c r="AA40" i="1"/>
  <c r="AA199" i="1"/>
  <c r="M42" i="8" s="1"/>
  <c r="AA143" i="1"/>
  <c r="M29" i="8" s="1"/>
  <c r="AA8" i="2"/>
  <c r="AA176" i="1"/>
  <c r="R9" i="7"/>
  <c r="AA164" i="1"/>
  <c r="AA11" i="2"/>
  <c r="AA9" i="2"/>
  <c r="AA10" i="2"/>
  <c r="AA7" i="2"/>
  <c r="AA6" i="2"/>
  <c r="AA43" i="1"/>
  <c r="Y102" i="1"/>
  <c r="K23" i="8" s="1"/>
  <c r="AA97" i="1"/>
  <c r="AA96" i="1"/>
  <c r="AA94" i="1"/>
  <c r="K31" i="8"/>
  <c r="AA84" i="1"/>
  <c r="AA82" i="1"/>
  <c r="AA75" i="1"/>
  <c r="AA70" i="1"/>
  <c r="AA197" i="1"/>
  <c r="AA195" i="1" s="1"/>
  <c r="M41" i="8" s="1"/>
  <c r="AA191" i="1"/>
  <c r="AA189" i="1"/>
  <c r="AA181" i="1"/>
  <c r="AA183" i="1"/>
  <c r="AA177" i="1"/>
  <c r="AA27" i="1"/>
  <c r="AA165" i="1"/>
  <c r="AA38" i="1"/>
  <c r="AA35" i="1"/>
  <c r="AA34" i="1"/>
  <c r="AA3" i="3"/>
  <c r="M92" i="8" s="1"/>
  <c r="M98" i="8"/>
  <c r="I73" i="8"/>
  <c r="AA119" i="2"/>
  <c r="M68" i="8" s="1"/>
  <c r="AA149" i="1"/>
  <c r="AA184" i="1"/>
  <c r="AA89" i="1"/>
  <c r="U130" i="2"/>
  <c r="S55" i="1"/>
  <c r="Y55" i="1" s="1"/>
  <c r="U102" i="1"/>
  <c r="I23" i="8" s="1"/>
  <c r="W102" i="1"/>
  <c r="M6" i="7"/>
  <c r="K68" i="8"/>
  <c r="U92" i="1"/>
  <c r="I21" i="8" s="1"/>
  <c r="W148" i="1"/>
  <c r="K35" i="8"/>
  <c r="W160" i="1"/>
  <c r="U206" i="1"/>
  <c r="I44" i="8" s="1"/>
  <c r="W206" i="1"/>
  <c r="Y127" i="1"/>
  <c r="U192" i="1"/>
  <c r="I40" i="8" s="1"/>
  <c r="U186" i="1"/>
  <c r="I39" i="8" s="1"/>
  <c r="U184" i="1"/>
  <c r="I38" i="8" s="1"/>
  <c r="U179" i="1"/>
  <c r="I37" i="8" s="1"/>
  <c r="H34" i="8"/>
  <c r="U172" i="1"/>
  <c r="W172" i="1"/>
  <c r="W187" i="1"/>
  <c r="W186" i="1" s="1"/>
  <c r="J32" i="1"/>
  <c r="E12" i="8" s="1"/>
  <c r="J39" i="1"/>
  <c r="E14" i="8" s="1"/>
  <c r="Y160" i="1"/>
  <c r="K32" i="8" s="1"/>
  <c r="W180" i="1"/>
  <c r="W179" i="1" s="1"/>
  <c r="W143" i="1"/>
  <c r="U148" i="1"/>
  <c r="I30" i="8" s="1"/>
  <c r="E21" i="8"/>
  <c r="AA193" i="1"/>
  <c r="Y192" i="1"/>
  <c r="K40" i="8" s="1"/>
  <c r="S41" i="1"/>
  <c r="Y41" i="1" s="1"/>
  <c r="W200" i="1"/>
  <c r="W199" i="1" s="1"/>
  <c r="U199" i="1"/>
  <c r="I42" i="8" s="1"/>
  <c r="W192" i="1"/>
  <c r="L171" i="1"/>
  <c r="J36" i="1"/>
  <c r="E13" i="8" s="1"/>
  <c r="Y99" i="1"/>
  <c r="K22" i="8" s="1"/>
  <c r="AA100" i="1"/>
  <c r="U160" i="1"/>
  <c r="I32" i="8" s="1"/>
  <c r="U143" i="1"/>
  <c r="I29" i="8" s="1"/>
  <c r="Y195" i="1"/>
  <c r="K41" i="8" s="1"/>
  <c r="U195" i="1"/>
  <c r="I41" i="8" s="1"/>
  <c r="W196" i="1"/>
  <c r="W195" i="1" s="1"/>
  <c r="W204" i="1"/>
  <c r="W203" i="1" s="1"/>
  <c r="U203" i="1"/>
  <c r="I43" i="8" s="1"/>
  <c r="Y179" i="1"/>
  <c r="K37" i="8" s="1"/>
  <c r="U175" i="1"/>
  <c r="I36" i="8" s="1"/>
  <c r="W176" i="1"/>
  <c r="W175" i="1" s="1"/>
  <c r="AA86" i="1"/>
  <c r="W106" i="1"/>
  <c r="W105" i="1" s="1"/>
  <c r="U105" i="1"/>
  <c r="I24" i="8" s="1"/>
  <c r="W209" i="1"/>
  <c r="W167" i="1"/>
  <c r="W166" i="1" s="1"/>
  <c r="W141" i="1"/>
  <c r="W140" i="1" s="1"/>
  <c r="U140" i="1"/>
  <c r="I28" i="8" s="1"/>
  <c r="U131" i="1"/>
  <c r="W131" i="1"/>
  <c r="W154" i="1"/>
  <c r="W153" i="1" s="1"/>
  <c r="U153" i="1"/>
  <c r="I31" i="8" s="1"/>
  <c r="W77" i="1"/>
  <c r="U77" i="1"/>
  <c r="I18" i="8" s="1"/>
  <c r="S73" i="1"/>
  <c r="Y73" i="1" s="1"/>
  <c r="U70" i="1"/>
  <c r="W70" i="1" s="1"/>
  <c r="S67" i="1"/>
  <c r="Y67" i="1" s="1"/>
  <c r="S62" i="1"/>
  <c r="S54" i="1"/>
  <c r="Y54" i="1" s="1"/>
  <c r="U52" i="1"/>
  <c r="I16" i="8" s="1"/>
  <c r="L52" i="1"/>
  <c r="H16" i="8" s="1"/>
  <c r="S51" i="1"/>
  <c r="U47" i="1"/>
  <c r="W47" i="1" s="1"/>
  <c r="S42" i="1"/>
  <c r="Y42" i="1" s="1"/>
  <c r="L39" i="1"/>
  <c r="H14" i="8" s="1"/>
  <c r="W7" i="2"/>
  <c r="W5" i="2" s="1"/>
  <c r="U5" i="2"/>
  <c r="I48" i="8" s="1"/>
  <c r="I47" i="8" s="1"/>
  <c r="L32" i="1"/>
  <c r="H12" i="8" s="1"/>
  <c r="U99" i="1"/>
  <c r="I22" i="8" s="1"/>
  <c r="W99" i="1"/>
  <c r="W92" i="1"/>
  <c r="W37" i="1"/>
  <c r="S59" i="1"/>
  <c r="Y59" i="1" s="1"/>
  <c r="S66" i="1"/>
  <c r="Y66" i="1" s="1"/>
  <c r="AA66" i="1" s="1"/>
  <c r="S46" i="1"/>
  <c r="Y46" i="1" s="1"/>
  <c r="S33" i="1"/>
  <c r="Y33" i="1" s="1"/>
  <c r="S37" i="1"/>
  <c r="Y37" i="1" s="1"/>
  <c r="L36" i="1"/>
  <c r="H13" i="8" s="1"/>
  <c r="W34" i="1"/>
  <c r="W33" i="1"/>
  <c r="U45" i="1"/>
  <c r="U40" i="1"/>
  <c r="U48" i="1"/>
  <c r="W48" i="1" s="1"/>
  <c r="S61" i="1"/>
  <c r="Y61" i="1" s="1"/>
  <c r="S69" i="1"/>
  <c r="Y69" i="1" s="1"/>
  <c r="S65" i="1"/>
  <c r="U38" i="1"/>
  <c r="W38" i="1" s="1"/>
  <c r="U43" i="1"/>
  <c r="W43" i="1" s="1"/>
  <c r="Y45" i="1"/>
  <c r="S56" i="1"/>
  <c r="Y56" i="1" s="1"/>
  <c r="S60" i="1"/>
  <c r="Y60" i="1" s="1"/>
  <c r="S68" i="1"/>
  <c r="S71" i="1"/>
  <c r="Y71" i="1" s="1"/>
  <c r="J52" i="1"/>
  <c r="E16" i="8" s="1"/>
  <c r="U50" i="1"/>
  <c r="W50" i="1" s="1"/>
  <c r="U35" i="1"/>
  <c r="W35" i="1" s="1"/>
  <c r="X27" i="1"/>
  <c r="W27" i="1"/>
  <c r="R28" i="1"/>
  <c r="U28" i="1" s="1"/>
  <c r="W28" i="1" s="1"/>
  <c r="R29" i="1"/>
  <c r="S29" i="1" s="1"/>
  <c r="Y29" i="1" s="1"/>
  <c r="R30" i="1"/>
  <c r="S30" i="1" s="1"/>
  <c r="Y30" i="1" s="1"/>
  <c r="L30" i="1"/>
  <c r="L28" i="1"/>
  <c r="L29" i="1"/>
  <c r="L27" i="1"/>
  <c r="L24" i="1"/>
  <c r="L22" i="1"/>
  <c r="L21" i="1"/>
  <c r="L18" i="1"/>
  <c r="L19" i="1"/>
  <c r="L20" i="1"/>
  <c r="L14" i="1"/>
  <c r="L12" i="1" s="1"/>
  <c r="H7" i="8" s="1"/>
  <c r="L11" i="1"/>
  <c r="L9" i="1"/>
  <c r="K7" i="1"/>
  <c r="J28" i="1"/>
  <c r="J29" i="1"/>
  <c r="J30" i="1"/>
  <c r="J27" i="1"/>
  <c r="R25" i="1"/>
  <c r="S25" i="1" s="1"/>
  <c r="R24" i="1"/>
  <c r="S24" i="1" s="1"/>
  <c r="Y24" i="1" s="1"/>
  <c r="J24" i="1"/>
  <c r="R22" i="1"/>
  <c r="U22" i="1" s="1"/>
  <c r="W22" i="1" s="1"/>
  <c r="R21" i="1"/>
  <c r="S21" i="1" s="1"/>
  <c r="Y21" i="1" s="1"/>
  <c r="R20" i="1"/>
  <c r="S20" i="1" s="1"/>
  <c r="Y20" i="1" s="1"/>
  <c r="R19" i="1"/>
  <c r="S19" i="1" s="1"/>
  <c r="Y19" i="1" s="1"/>
  <c r="R18" i="1"/>
  <c r="U18" i="1" s="1"/>
  <c r="W18" i="1" s="1"/>
  <c r="J18" i="1"/>
  <c r="J19" i="1"/>
  <c r="J20" i="1"/>
  <c r="J21" i="1"/>
  <c r="J22" i="1"/>
  <c r="R13" i="1"/>
  <c r="S13" i="1" s="1"/>
  <c r="R14" i="1"/>
  <c r="S14" i="1" s="1"/>
  <c r="Y14" i="1" s="1"/>
  <c r="J14" i="1"/>
  <c r="V6" i="1"/>
  <c r="W8" i="1"/>
  <c r="T9" i="1"/>
  <c r="V9" i="1" s="1"/>
  <c r="Y6" i="1"/>
  <c r="X6" i="1"/>
  <c r="K14" i="1"/>
  <c r="K12" i="1" s="1"/>
  <c r="R11" i="1"/>
  <c r="S11" i="1" s="1"/>
  <c r="Y11" i="1" s="1"/>
  <c r="R9" i="1"/>
  <c r="S9" i="1" s="1"/>
  <c r="Y9" i="1" s="1"/>
  <c r="R10" i="1"/>
  <c r="S10" i="1" s="1"/>
  <c r="L8" i="1"/>
  <c r="K6" i="1"/>
  <c r="J8" i="1"/>
  <c r="J9" i="1"/>
  <c r="J11" i="1"/>
  <c r="Y52" i="1" l="1"/>
  <c r="Y12" i="1"/>
  <c r="U171" i="1"/>
  <c r="I45" i="8"/>
  <c r="AA46" i="1"/>
  <c r="AA54" i="1"/>
  <c r="AA206" i="1"/>
  <c r="M44" i="8" s="1"/>
  <c r="AA160" i="1"/>
  <c r="M32" i="8" s="1"/>
  <c r="AA186" i="1"/>
  <c r="M39" i="8" s="1"/>
  <c r="AA175" i="1"/>
  <c r="M36" i="8" s="1"/>
  <c r="AA87" i="1"/>
  <c r="M19" i="8" s="1"/>
  <c r="AA9" i="1"/>
  <c r="AA19" i="1"/>
  <c r="AA20" i="1"/>
  <c r="AA71" i="1"/>
  <c r="AA69" i="1"/>
  <c r="AA41" i="1"/>
  <c r="AA179" i="1"/>
  <c r="M37" i="8" s="1"/>
  <c r="AA5" i="2"/>
  <c r="M48" i="8" s="1"/>
  <c r="AA11" i="1"/>
  <c r="AA21" i="1"/>
  <c r="AA73" i="1"/>
  <c r="Y68" i="1"/>
  <c r="AA67" i="1"/>
  <c r="AA61" i="1"/>
  <c r="AA60" i="1"/>
  <c r="AA55" i="1"/>
  <c r="AA42" i="1"/>
  <c r="K39" i="8"/>
  <c r="AA30" i="1"/>
  <c r="AA29" i="1"/>
  <c r="R6" i="7"/>
  <c r="AA99" i="1"/>
  <c r="M22" i="8" s="1"/>
  <c r="M38" i="8"/>
  <c r="AA192" i="1"/>
  <c r="AA6" i="1"/>
  <c r="AA14" i="1"/>
  <c r="L5" i="1"/>
  <c r="H6" i="8" s="1"/>
  <c r="U91" i="1"/>
  <c r="I20" i="8"/>
  <c r="I35" i="8"/>
  <c r="I27" i="8"/>
  <c r="I26" i="8" s="1"/>
  <c r="U130" i="1"/>
  <c r="Y17" i="1"/>
  <c r="W17" i="1"/>
  <c r="U20" i="1"/>
  <c r="W20" i="1" s="1"/>
  <c r="AA127" i="1"/>
  <c r="K36" i="8"/>
  <c r="Y36" i="1"/>
  <c r="K13" i="8" s="1"/>
  <c r="AA37" i="1"/>
  <c r="AA56" i="1"/>
  <c r="W53" i="1"/>
  <c r="W52" i="1" s="1"/>
  <c r="W171" i="1"/>
  <c r="H171" i="1" s="1"/>
  <c r="J16" i="1"/>
  <c r="W91" i="1"/>
  <c r="H91" i="1" s="1"/>
  <c r="L23" i="1"/>
  <c r="H9" i="8" s="1"/>
  <c r="Y32" i="1"/>
  <c r="K12" i="8" s="1"/>
  <c r="AA33" i="1"/>
  <c r="AA32" i="1" s="1"/>
  <c r="Y23" i="1"/>
  <c r="K9" i="8" s="1"/>
  <c r="AA24" i="1"/>
  <c r="AA45" i="1"/>
  <c r="U24" i="1"/>
  <c r="Y39" i="1"/>
  <c r="K14" i="8" s="1"/>
  <c r="U36" i="1"/>
  <c r="I13" i="8" s="1"/>
  <c r="W36" i="1"/>
  <c r="W130" i="1"/>
  <c r="H130" i="1" s="1"/>
  <c r="J5" i="1"/>
  <c r="E6" i="8" s="1"/>
  <c r="W4" i="2"/>
  <c r="U4" i="2"/>
  <c r="U3" i="2" s="1"/>
  <c r="I46" i="8" s="1"/>
  <c r="K48" i="8"/>
  <c r="J26" i="1"/>
  <c r="U32" i="1"/>
  <c r="I12" i="8" s="1"/>
  <c r="S22" i="1"/>
  <c r="Y22" i="1" s="1"/>
  <c r="J23" i="1"/>
  <c r="E9" i="8" s="1"/>
  <c r="S28" i="1"/>
  <c r="Y28" i="1" s="1"/>
  <c r="J12" i="1"/>
  <c r="E7" i="8" s="1"/>
  <c r="U21" i="1"/>
  <c r="W21" i="1" s="1"/>
  <c r="L26" i="1"/>
  <c r="H10" i="8" s="1"/>
  <c r="W45" i="1"/>
  <c r="W44" i="1" s="1"/>
  <c r="U44" i="1"/>
  <c r="I15" i="8" s="1"/>
  <c r="S18" i="1"/>
  <c r="Y18" i="1" s="1"/>
  <c r="S15" i="1"/>
  <c r="U19" i="1"/>
  <c r="W19" i="1" s="1"/>
  <c r="W30" i="1"/>
  <c r="W32" i="1"/>
  <c r="W29" i="1"/>
  <c r="U14" i="1"/>
  <c r="W58" i="1"/>
  <c r="W57" i="1" s="1"/>
  <c r="U57" i="1"/>
  <c r="I17" i="8" s="1"/>
  <c r="U39" i="1"/>
  <c r="I14" i="8" s="1"/>
  <c r="W40" i="1"/>
  <c r="W39" i="1" s="1"/>
  <c r="L16" i="1"/>
  <c r="H8" i="8" s="1"/>
  <c r="U11" i="1"/>
  <c r="W11" i="1" s="1"/>
  <c r="U9" i="1"/>
  <c r="W10" i="1"/>
  <c r="S8" i="1"/>
  <c r="Y8" i="1" s="1"/>
  <c r="S7" i="1"/>
  <c r="Y7" i="1" s="1"/>
  <c r="Y5" i="1" l="1"/>
  <c r="U5" i="1"/>
  <c r="I6" i="8" s="1"/>
  <c r="I34" i="8"/>
  <c r="AA52" i="1"/>
  <c r="M16" i="8" s="1"/>
  <c r="AA171" i="1"/>
  <c r="M34" i="8" s="1"/>
  <c r="AA39" i="1"/>
  <c r="M14" i="8" s="1"/>
  <c r="AA18" i="1"/>
  <c r="AA22" i="1"/>
  <c r="AA68" i="1"/>
  <c r="AA15" i="1"/>
  <c r="AA12" i="1" s="1"/>
  <c r="M7" i="8" s="1"/>
  <c r="AA8" i="1"/>
  <c r="AA23" i="1"/>
  <c r="M9" i="8" s="1"/>
  <c r="AA125" i="1"/>
  <c r="M25" i="8" s="1"/>
  <c r="AA17" i="1"/>
  <c r="Y16" i="1"/>
  <c r="K8" i="8" s="1"/>
  <c r="AA36" i="1"/>
  <c r="M13" i="8" s="1"/>
  <c r="M40" i="8"/>
  <c r="K7" i="8"/>
  <c r="M5" i="7"/>
  <c r="I11" i="8"/>
  <c r="H4" i="2"/>
  <c r="W3" i="2" s="1"/>
  <c r="H5" i="8"/>
  <c r="W9" i="1"/>
  <c r="W5" i="1" s="1"/>
  <c r="E8" i="8"/>
  <c r="J4" i="1"/>
  <c r="W24" i="1"/>
  <c r="W23" i="1" s="1"/>
  <c r="U23" i="1"/>
  <c r="I9" i="8" s="1"/>
  <c r="AA7" i="1"/>
  <c r="W14" i="1"/>
  <c r="W12" i="1" s="1"/>
  <c r="U12" i="1"/>
  <c r="I7" i="8" s="1"/>
  <c r="Y26" i="1"/>
  <c r="K10" i="8" s="1"/>
  <c r="AA28" i="1"/>
  <c r="M12" i="8"/>
  <c r="W26" i="1"/>
  <c r="E10" i="8"/>
  <c r="U26" i="1"/>
  <c r="I10" i="8" s="1"/>
  <c r="U31" i="1"/>
  <c r="W31" i="1"/>
  <c r="H31" i="1" s="1"/>
  <c r="L4" i="1"/>
  <c r="W16" i="1"/>
  <c r="U16" i="1"/>
  <c r="I8" i="8" s="1"/>
  <c r="AA5" i="1" l="1"/>
  <c r="M6" i="8" s="1"/>
  <c r="AA16" i="1"/>
  <c r="M8" i="8" s="1"/>
  <c r="AA26" i="1"/>
  <c r="K6" i="8"/>
  <c r="Y4" i="1"/>
  <c r="I5" i="8"/>
  <c r="W4" i="1"/>
  <c r="H4" i="1" s="1"/>
  <c r="W3" i="1" s="1"/>
  <c r="E5" i="8"/>
  <c r="U4" i="1"/>
  <c r="U3" i="1" s="1"/>
  <c r="I4" i="8" s="1"/>
  <c r="F100" i="2"/>
  <c r="X97" i="2"/>
  <c r="Z97" i="2" s="1"/>
  <c r="V97" i="2"/>
  <c r="K97" i="2"/>
  <c r="I97" i="2"/>
  <c r="V96" i="2"/>
  <c r="AA4" i="1" l="1"/>
  <c r="M5" i="8" s="1"/>
  <c r="M10" i="8"/>
  <c r="K5" i="8"/>
  <c r="I3" i="8"/>
  <c r="M3" i="7" s="1"/>
  <c r="M4" i="7"/>
  <c r="J100" i="2"/>
  <c r="J92" i="2" s="1"/>
  <c r="L100" i="2"/>
  <c r="L92" i="2" s="1"/>
  <c r="T52" i="4"/>
  <c r="V52" i="4" s="1"/>
  <c r="V50" i="4" s="1"/>
  <c r="K52" i="4"/>
  <c r="K50" i="4" s="1"/>
  <c r="I52" i="4"/>
  <c r="I50" i="4" s="1"/>
  <c r="L91" i="2" l="1"/>
  <c r="H65" i="8"/>
  <c r="H64" i="8" s="1"/>
  <c r="J91" i="2"/>
  <c r="E65" i="8"/>
  <c r="E64" i="8" s="1"/>
  <c r="T50" i="4"/>
  <c r="T97" i="3"/>
  <c r="X89" i="2" l="1"/>
  <c r="T49" i="4" l="1"/>
  <c r="V49" i="4" s="1"/>
  <c r="I142" i="4" l="1"/>
  <c r="K31" i="4"/>
  <c r="K27" i="4" s="1"/>
  <c r="I31" i="4"/>
  <c r="I27" i="4" s="1"/>
  <c r="X169" i="2" l="1"/>
  <c r="T171" i="2"/>
  <c r="F17" i="1" l="1"/>
  <c r="K17" i="1" l="1"/>
  <c r="X17" i="1"/>
  <c r="X103" i="1"/>
  <c r="X102" i="1" s="1"/>
  <c r="T103" i="1"/>
  <c r="I101" i="1"/>
  <c r="X100" i="1"/>
  <c r="Z100" i="1" s="1"/>
  <c r="Z17" i="1" l="1"/>
  <c r="T173" i="2"/>
  <c r="X11" i="1" l="1"/>
  <c r="Z11" i="1" s="1"/>
  <c r="T11" i="1"/>
  <c r="V11" i="1" s="1"/>
  <c r="K11" i="1"/>
  <c r="I11" i="1"/>
  <c r="X47" i="3" l="1"/>
  <c r="Z47" i="3" s="1"/>
  <c r="V47" i="3"/>
  <c r="K47" i="3"/>
  <c r="I47" i="3"/>
  <c r="K9" i="3"/>
  <c r="X14" i="3"/>
  <c r="Z14" i="3" s="1"/>
  <c r="T14" i="3"/>
  <c r="V14" i="3" s="1"/>
  <c r="K14" i="3"/>
  <c r="I14" i="3"/>
  <c r="X13" i="3"/>
  <c r="Z13" i="3" s="1"/>
  <c r="T13" i="3"/>
  <c r="V13" i="3" s="1"/>
  <c r="K13" i="3"/>
  <c r="I13" i="3"/>
  <c r="X12" i="3"/>
  <c r="T12" i="3"/>
  <c r="V12" i="3" s="1"/>
  <c r="K12" i="3"/>
  <c r="I12" i="3"/>
  <c r="T10" i="3"/>
  <c r="X141" i="5"/>
  <c r="Z141" i="5" s="1"/>
  <c r="T141" i="5"/>
  <c r="V141" i="5" s="1"/>
  <c r="K141" i="5"/>
  <c r="I141" i="5"/>
  <c r="X140" i="5"/>
  <c r="T140" i="5"/>
  <c r="V140" i="5" s="1"/>
  <c r="K140" i="5"/>
  <c r="I140" i="5"/>
  <c r="K138" i="5"/>
  <c r="K50" i="5"/>
  <c r="K51" i="5"/>
  <c r="I11" i="3" l="1"/>
  <c r="K11" i="3"/>
  <c r="V139" i="5"/>
  <c r="I139" i="5"/>
  <c r="Z140" i="5"/>
  <c r="Z139" i="5" s="1"/>
  <c r="X139" i="5"/>
  <c r="V11" i="3"/>
  <c r="Z12" i="3"/>
  <c r="Z11" i="3" s="1"/>
  <c r="X11" i="3"/>
  <c r="K139" i="5"/>
  <c r="T139" i="5"/>
  <c r="T11" i="3"/>
  <c r="I176" i="1"/>
  <c r="V132" i="2" l="1"/>
  <c r="K49" i="4" l="1"/>
  <c r="I49" i="4"/>
  <c r="X88" i="2" l="1"/>
  <c r="T130" i="3"/>
  <c r="T35" i="2" l="1"/>
  <c r="X38" i="2"/>
  <c r="X30" i="2"/>
  <c r="V95" i="5" l="1"/>
  <c r="X87" i="5"/>
  <c r="T87" i="5"/>
  <c r="V87" i="5" s="1"/>
  <c r="K87" i="5"/>
  <c r="I87" i="5"/>
  <c r="Z87" i="5" l="1"/>
  <c r="V63" i="2"/>
  <c r="X63" i="2"/>
  <c r="Z63" i="2" s="1"/>
  <c r="X53" i="2"/>
  <c r="V54" i="2"/>
  <c r="X54" i="2"/>
  <c r="Z54" i="2" s="1"/>
  <c r="X55" i="2"/>
  <c r="Z55" i="2" s="1"/>
  <c r="V53" i="2"/>
  <c r="X48" i="2"/>
  <c r="X42" i="2"/>
  <c r="Z42" i="2" s="1"/>
  <c r="T42" i="2"/>
  <c r="V42" i="2" s="1"/>
  <c r="Z38" i="2"/>
  <c r="T38" i="2"/>
  <c r="V38" i="2" s="1"/>
  <c r="X37" i="2"/>
  <c r="Z37" i="2" s="1"/>
  <c r="T37" i="2"/>
  <c r="V37" i="2" s="1"/>
  <c r="I37" i="2"/>
  <c r="K37" i="2"/>
  <c r="I38" i="2"/>
  <c r="K38" i="2"/>
  <c r="X52" i="2" l="1"/>
  <c r="Z53" i="2"/>
  <c r="T23" i="6"/>
  <c r="T22" i="6" s="1"/>
  <c r="X23" i="6"/>
  <c r="K23" i="6"/>
  <c r="K22" i="6" s="1"/>
  <c r="I23" i="6"/>
  <c r="I22" i="6" s="1"/>
  <c r="Z23" i="6" l="1"/>
  <c r="Z22" i="6" s="1"/>
  <c r="X22" i="6"/>
  <c r="Y22" i="6" s="1"/>
  <c r="V23" i="6"/>
  <c r="V22" i="6" s="1"/>
  <c r="K202" i="8" l="1"/>
  <c r="T111" i="1"/>
  <c r="V111" i="1" s="1"/>
  <c r="V101" i="1"/>
  <c r="V100" i="1"/>
  <c r="X93" i="1"/>
  <c r="Y93" i="1" l="1"/>
  <c r="V99" i="1"/>
  <c r="Z93" i="1"/>
  <c r="AA93" i="1" l="1"/>
  <c r="K90" i="3"/>
  <c r="K87" i="3"/>
  <c r="X97" i="3"/>
  <c r="X96" i="3" s="1"/>
  <c r="V97" i="3"/>
  <c r="V96" i="3" s="1"/>
  <c r="K97" i="3"/>
  <c r="K96" i="3" s="1"/>
  <c r="I97" i="3"/>
  <c r="I96" i="3" s="1"/>
  <c r="Z97" i="3" l="1"/>
  <c r="Z96" i="3" s="1"/>
  <c r="T96" i="3"/>
  <c r="X199" i="2"/>
  <c r="T79" i="5" l="1"/>
  <c r="T111" i="4" l="1"/>
  <c r="V111" i="4" s="1"/>
  <c r="T120" i="4"/>
  <c r="V120" i="4" s="1"/>
  <c r="X114" i="5" l="1"/>
  <c r="Z114" i="5" s="1"/>
  <c r="V114" i="5"/>
  <c r="T6" i="4"/>
  <c r="V6" i="4" s="1"/>
  <c r="V210" i="1" l="1"/>
  <c r="T136" i="2" l="1"/>
  <c r="V136" i="2" s="1"/>
  <c r="T135" i="2"/>
  <c r="V135" i="2" s="1"/>
  <c r="X135" i="2"/>
  <c r="Z135" i="2" s="1"/>
  <c r="I135" i="2"/>
  <c r="K135" i="2"/>
  <c r="X136" i="2"/>
  <c r="Z136" i="2" s="1"/>
  <c r="V74" i="2" l="1"/>
  <c r="T72" i="2"/>
  <c r="X59" i="2"/>
  <c r="Z59" i="2" s="1"/>
  <c r="T59" i="2"/>
  <c r="V59" i="2" s="1"/>
  <c r="X31" i="2"/>
  <c r="Z30" i="2"/>
  <c r="V30" i="2"/>
  <c r="X33" i="2"/>
  <c r="Z33" i="2" s="1"/>
  <c r="T33" i="2"/>
  <c r="V33" i="2" s="1"/>
  <c r="X32" i="2"/>
  <c r="Z32" i="2" s="1"/>
  <c r="V32" i="2"/>
  <c r="K24" i="2"/>
  <c r="X51" i="3" l="1"/>
  <c r="Z51" i="3" s="1"/>
  <c r="V51" i="3"/>
  <c r="K51" i="3"/>
  <c r="I51" i="3"/>
  <c r="X49" i="3"/>
  <c r="Z49" i="3" s="1"/>
  <c r="V49" i="3"/>
  <c r="I49" i="3"/>
  <c r="K49" i="3"/>
  <c r="X48" i="3"/>
  <c r="Z48" i="3" s="1"/>
  <c r="V48" i="3"/>
  <c r="K48" i="3"/>
  <c r="I48" i="3"/>
  <c r="T31" i="3"/>
  <c r="K31" i="3"/>
  <c r="K28" i="3" s="1"/>
  <c r="I31" i="3"/>
  <c r="I28" i="3" s="1"/>
  <c r="Z19" i="3"/>
  <c r="V19" i="3"/>
  <c r="K19" i="3"/>
  <c r="I19" i="3"/>
  <c r="X10" i="3"/>
  <c r="Z10" i="3" s="1"/>
  <c r="V10" i="3"/>
  <c r="K10" i="3"/>
  <c r="I10" i="3"/>
  <c r="X8" i="3"/>
  <c r="Z8" i="3" s="1"/>
  <c r="T8" i="3"/>
  <c r="V8" i="3" s="1"/>
  <c r="K8" i="3"/>
  <c r="I8" i="3"/>
  <c r="V31" i="3" l="1"/>
  <c r="V28" i="3" s="1"/>
  <c r="T28" i="3"/>
  <c r="T72" i="4"/>
  <c r="V72" i="4" s="1"/>
  <c r="V69" i="4" s="1"/>
  <c r="K72" i="4"/>
  <c r="I72" i="4"/>
  <c r="G70" i="4"/>
  <c r="T153" i="4" l="1"/>
  <c r="V153" i="4" s="1"/>
  <c r="K153" i="4"/>
  <c r="I153" i="4"/>
  <c r="X21" i="5"/>
  <c r="Z21" i="5" s="1"/>
  <c r="T21" i="5"/>
  <c r="V21" i="5" s="1"/>
  <c r="K21" i="5"/>
  <c r="I21" i="5"/>
  <c r="T56" i="4"/>
  <c r="V56" i="4" s="1"/>
  <c r="K56" i="4"/>
  <c r="I56" i="4"/>
  <c r="I55" i="4"/>
  <c r="K55" i="4"/>
  <c r="X46" i="5" l="1"/>
  <c r="I116" i="4"/>
  <c r="I113" i="4"/>
  <c r="I114" i="4"/>
  <c r="I115" i="4"/>
  <c r="I118" i="4"/>
  <c r="X61" i="2" l="1"/>
  <c r="X64" i="2"/>
  <c r="Z64" i="2" s="1"/>
  <c r="T64" i="2"/>
  <c r="V64" i="2" s="1"/>
  <c r="Z48" i="2"/>
  <c r="V48" i="2"/>
  <c r="K48" i="2"/>
  <c r="I48" i="2"/>
  <c r="K13" i="2"/>
  <c r="T108" i="1" l="1"/>
  <c r="X89" i="3" l="1"/>
  <c r="X43" i="1" l="1"/>
  <c r="F62" i="1" l="1"/>
  <c r="K62" i="1" l="1"/>
  <c r="J62" i="1"/>
  <c r="J57" i="1" s="1"/>
  <c r="E17" i="8" s="1"/>
  <c r="L62" i="1"/>
  <c r="L57" i="1" s="1"/>
  <c r="H17" i="8" s="1"/>
  <c r="Y62" i="1"/>
  <c r="Y57" i="1" s="1"/>
  <c r="V123" i="2"/>
  <c r="K17" i="8" l="1"/>
  <c r="AA62" i="1"/>
  <c r="AA57" i="1" l="1"/>
  <c r="M17" i="8" s="1"/>
  <c r="F76" i="4"/>
  <c r="J76" i="4" l="1"/>
  <c r="J73" i="4" s="1"/>
  <c r="L76" i="4"/>
  <c r="L73" i="4" s="1"/>
  <c r="Y76" i="4"/>
  <c r="X76" i="4"/>
  <c r="I104" i="4"/>
  <c r="H140" i="8" l="1"/>
  <c r="H136" i="8" s="1"/>
  <c r="L60" i="4"/>
  <c r="Z76" i="4"/>
  <c r="Z73" i="4" s="1"/>
  <c r="Z60" i="4" s="1"/>
  <c r="X73" i="4"/>
  <c r="X60" i="4" s="1"/>
  <c r="AA76" i="4"/>
  <c r="AA73" i="4" s="1"/>
  <c r="AA60" i="4" s="1"/>
  <c r="M136" i="8" s="1"/>
  <c r="Y73" i="4"/>
  <c r="E140" i="8"/>
  <c r="E136" i="8" s="1"/>
  <c r="J60" i="4"/>
  <c r="L171" i="8"/>
  <c r="K140" i="8" l="1"/>
  <c r="Y60" i="4"/>
  <c r="M140" i="8"/>
  <c r="V169" i="2"/>
  <c r="Z169" i="2"/>
  <c r="I169" i="2"/>
  <c r="K169" i="2"/>
  <c r="K136" i="8" l="1"/>
  <c r="I90" i="1"/>
  <c r="K90" i="1"/>
  <c r="T90" i="1"/>
  <c r="V90" i="1" s="1"/>
  <c r="X90" i="1"/>
  <c r="Z90" i="1" s="1"/>
  <c r="F51" i="1"/>
  <c r="J51" i="1" l="1"/>
  <c r="J44" i="1" s="1"/>
  <c r="L51" i="1"/>
  <c r="L44" i="1" s="1"/>
  <c r="H15" i="8" s="1"/>
  <c r="X8" i="1"/>
  <c r="T8" i="1"/>
  <c r="V8" i="1" s="1"/>
  <c r="T10" i="5"/>
  <c r="T11" i="5"/>
  <c r="K13" i="5"/>
  <c r="T131" i="4"/>
  <c r="V131" i="4" s="1"/>
  <c r="G143" i="4"/>
  <c r="E15" i="8" l="1"/>
  <c r="Z6" i="1"/>
  <c r="T87" i="3"/>
  <c r="V87" i="3" s="1"/>
  <c r="X87" i="3"/>
  <c r="Z87" i="3" l="1"/>
  <c r="F39" i="4"/>
  <c r="F200" i="2"/>
  <c r="L200" i="2" l="1"/>
  <c r="L198" i="2" s="1"/>
  <c r="J200" i="2"/>
  <c r="J198" i="2" s="1"/>
  <c r="Y200" i="2"/>
  <c r="L39" i="4"/>
  <c r="L38" i="4" s="1"/>
  <c r="J39" i="4"/>
  <c r="J38" i="4" s="1"/>
  <c r="Y39" i="4"/>
  <c r="X39" i="4"/>
  <c r="K200" i="2"/>
  <c r="X200" i="2"/>
  <c r="X7" i="1"/>
  <c r="T147" i="1"/>
  <c r="V147" i="1" s="1"/>
  <c r="X147" i="1"/>
  <c r="Z147" i="1" s="1"/>
  <c r="I147" i="1"/>
  <c r="K147" i="1"/>
  <c r="T132" i="1"/>
  <c r="F134" i="1"/>
  <c r="X173" i="1"/>
  <c r="X172" i="1" s="1"/>
  <c r="K173" i="1"/>
  <c r="I173" i="1"/>
  <c r="K180" i="1"/>
  <c r="I183" i="1"/>
  <c r="E131" i="8" l="1"/>
  <c r="E130" i="8" s="1"/>
  <c r="J37" i="4"/>
  <c r="J3" i="4" s="1"/>
  <c r="E123" i="8" s="1"/>
  <c r="Z39" i="4"/>
  <c r="Z38" i="4" s="1"/>
  <c r="Z37" i="4" s="1"/>
  <c r="Z3" i="4" s="1"/>
  <c r="X38" i="4"/>
  <c r="Y38" i="4" s="1"/>
  <c r="J134" i="1"/>
  <c r="J131" i="1" s="1"/>
  <c r="L134" i="1"/>
  <c r="L131" i="1" s="1"/>
  <c r="H131" i="8"/>
  <c r="H130" i="8" s="1"/>
  <c r="L37" i="4"/>
  <c r="L3" i="4" s="1"/>
  <c r="H123" i="8" s="1"/>
  <c r="E90" i="8"/>
  <c r="E88" i="8" s="1"/>
  <c r="J192" i="2"/>
  <c r="AA39" i="4"/>
  <c r="AA38" i="4" s="1"/>
  <c r="AA37" i="4" s="1"/>
  <c r="AA3" i="4" s="1"/>
  <c r="AA200" i="2"/>
  <c r="AA198" i="2" s="1"/>
  <c r="AA192" i="2" s="1"/>
  <c r="M88" i="8" s="1"/>
  <c r="Y198" i="2"/>
  <c r="H90" i="8"/>
  <c r="H88" i="8" s="1"/>
  <c r="L192" i="2"/>
  <c r="G61" i="1"/>
  <c r="G60" i="1"/>
  <c r="F79" i="1"/>
  <c r="X79" i="1"/>
  <c r="T79" i="1"/>
  <c r="V79" i="1" s="1"/>
  <c r="T68" i="1"/>
  <c r="V68" i="1" s="1"/>
  <c r="X68" i="1"/>
  <c r="Z68" i="1" s="1"/>
  <c r="T67" i="1"/>
  <c r="V67" i="1" s="1"/>
  <c r="X67" i="1"/>
  <c r="Z67" i="1" s="1"/>
  <c r="X66" i="1"/>
  <c r="Z66" i="1" s="1"/>
  <c r="T66" i="1"/>
  <c r="V66" i="1" s="1"/>
  <c r="M130" i="8" l="1"/>
  <c r="M123" i="8"/>
  <c r="X37" i="4"/>
  <c r="X3" i="4" s="1"/>
  <c r="K90" i="8"/>
  <c r="M90" i="8"/>
  <c r="E27" i="8"/>
  <c r="H27" i="8"/>
  <c r="L79" i="1"/>
  <c r="L77" i="1" s="1"/>
  <c r="H18" i="8" s="1"/>
  <c r="H11" i="8" s="1"/>
  <c r="J79" i="1"/>
  <c r="J77" i="1" s="1"/>
  <c r="M131" i="8"/>
  <c r="E7" i="7"/>
  <c r="K131" i="8"/>
  <c r="Y37" i="4"/>
  <c r="Y3" i="4" s="1"/>
  <c r="P7" i="7"/>
  <c r="Z79" i="1"/>
  <c r="V39" i="3"/>
  <c r="X31" i="3"/>
  <c r="X28" i="3" s="1"/>
  <c r="K123" i="8" l="1"/>
  <c r="R7" i="7"/>
  <c r="AA79" i="1"/>
  <c r="AA77" i="1" s="1"/>
  <c r="E18" i="8"/>
  <c r="E11" i="8" s="1"/>
  <c r="J31" i="1"/>
  <c r="K130" i="8"/>
  <c r="Z31" i="3"/>
  <c r="F178" i="2"/>
  <c r="T178" i="2"/>
  <c r="X171" i="2"/>
  <c r="X188" i="2"/>
  <c r="V188" i="2"/>
  <c r="K7" i="7" l="1"/>
  <c r="G7" i="7" s="1"/>
  <c r="N7" i="7" s="1"/>
  <c r="Z188" i="2"/>
  <c r="K18" i="8"/>
  <c r="M18" i="8"/>
  <c r="L178" i="2"/>
  <c r="L176" i="2" s="1"/>
  <c r="J178" i="2"/>
  <c r="J176" i="2" s="1"/>
  <c r="Y178" i="2"/>
  <c r="Z171" i="2"/>
  <c r="V95" i="2"/>
  <c r="X95" i="2"/>
  <c r="H84" i="8" l="1"/>
  <c r="H80" i="8" s="1"/>
  <c r="L164" i="2"/>
  <c r="Z95" i="2"/>
  <c r="E84" i="8"/>
  <c r="E80" i="8" s="1"/>
  <c r="J164" i="2"/>
  <c r="AA178" i="2"/>
  <c r="AA176" i="2" s="1"/>
  <c r="AA164" i="2" s="1"/>
  <c r="M80" i="8" s="1"/>
  <c r="Y176" i="2"/>
  <c r="I30" i="2"/>
  <c r="F17" i="2"/>
  <c r="K84" i="8" l="1"/>
  <c r="Y164" i="2"/>
  <c r="M84" i="8"/>
  <c r="L17" i="2"/>
  <c r="L15" i="2" s="1"/>
  <c r="H50" i="8" s="1"/>
  <c r="H47" i="8" s="1"/>
  <c r="J17" i="2"/>
  <c r="J15" i="2" s="1"/>
  <c r="K17" i="2"/>
  <c r="I17" i="2"/>
  <c r="T7" i="6"/>
  <c r="Z4" i="7"/>
  <c r="I137" i="5"/>
  <c r="K137" i="5"/>
  <c r="I138" i="5"/>
  <c r="X126" i="5"/>
  <c r="Z126" i="5" s="1"/>
  <c r="V126" i="5"/>
  <c r="L158" i="8"/>
  <c r="L128" i="8"/>
  <c r="K80" i="8" l="1"/>
  <c r="J4" i="2"/>
  <c r="J3" i="2" s="1"/>
  <c r="E46" i="8" s="1"/>
  <c r="E50" i="8"/>
  <c r="E47" i="8" s="1"/>
  <c r="L4" i="2"/>
  <c r="L3" i="2" s="1"/>
  <c r="H46" i="8" s="1"/>
  <c r="X17" i="3"/>
  <c r="Z17" i="3" s="1"/>
  <c r="P5" i="7" l="1"/>
  <c r="E5" i="7"/>
  <c r="L79" i="8"/>
  <c r="X96" i="2"/>
  <c r="L56" i="8"/>
  <c r="Z96" i="2" l="1"/>
  <c r="Z27" i="1"/>
  <c r="X24" i="1"/>
  <c r="Z24" i="1" s="1"/>
  <c r="I27" i="1"/>
  <c r="K27" i="1" l="1"/>
  <c r="I34" i="4" l="1"/>
  <c r="K6" i="4"/>
  <c r="F121" i="1" l="1"/>
  <c r="X120" i="1"/>
  <c r="Z120" i="1" s="1"/>
  <c r="T119" i="1"/>
  <c r="F107" i="1"/>
  <c r="K106" i="1"/>
  <c r="K95" i="1"/>
  <c r="L107" i="1" l="1"/>
  <c r="J107" i="1"/>
  <c r="Y107" i="1"/>
  <c r="L121" i="1"/>
  <c r="J121" i="1"/>
  <c r="Y121" i="1"/>
  <c r="T7" i="1"/>
  <c r="I7" i="1"/>
  <c r="AA121" i="1" l="1"/>
  <c r="AA107" i="1"/>
  <c r="V7" i="1"/>
  <c r="V5" i="1" s="1"/>
  <c r="T5" i="1"/>
  <c r="Z7" i="1"/>
  <c r="X132" i="3" l="1"/>
  <c r="Z132" i="3" s="1"/>
  <c r="T132" i="3"/>
  <c r="V132" i="3" s="1"/>
  <c r="K132" i="3"/>
  <c r="I132" i="3"/>
  <c r="X131" i="3"/>
  <c r="Z131" i="3" s="1"/>
  <c r="T131" i="3"/>
  <c r="V131" i="3" s="1"/>
  <c r="I131" i="3"/>
  <c r="X130" i="3"/>
  <c r="I130" i="3"/>
  <c r="X126" i="3"/>
  <c r="T126" i="3"/>
  <c r="T125" i="3" s="1"/>
  <c r="K126" i="3"/>
  <c r="I126" i="3"/>
  <c r="I125" i="3" s="1"/>
  <c r="X119" i="3"/>
  <c r="Z119" i="3" s="1"/>
  <c r="T119" i="3"/>
  <c r="V119" i="3" s="1"/>
  <c r="K119" i="3"/>
  <c r="I119" i="3"/>
  <c r="X114" i="3"/>
  <c r="Z114" i="3" s="1"/>
  <c r="T114" i="3"/>
  <c r="V114" i="3" s="1"/>
  <c r="K114" i="3"/>
  <c r="I114" i="3"/>
  <c r="X111" i="3"/>
  <c r="Z111" i="3" s="1"/>
  <c r="T111" i="3"/>
  <c r="V111" i="3" s="1"/>
  <c r="K111" i="3"/>
  <c r="I111" i="3"/>
  <c r="X109" i="3"/>
  <c r="V109" i="3"/>
  <c r="K109" i="3"/>
  <c r="I109" i="3"/>
  <c r="X106" i="3"/>
  <c r="Z106" i="3" s="1"/>
  <c r="T106" i="3"/>
  <c r="V106" i="3" s="1"/>
  <c r="K106" i="3"/>
  <c r="I106" i="3"/>
  <c r="X105" i="3"/>
  <c r="Z105" i="3" s="1"/>
  <c r="T105" i="3"/>
  <c r="V105" i="3" s="1"/>
  <c r="K105" i="3"/>
  <c r="I105" i="3"/>
  <c r="X104" i="3"/>
  <c r="Z104" i="3" s="1"/>
  <c r="T104" i="3"/>
  <c r="V104" i="3" s="1"/>
  <c r="K104" i="3"/>
  <c r="I104" i="3"/>
  <c r="X103" i="3"/>
  <c r="Z103" i="3" s="1"/>
  <c r="K103" i="3"/>
  <c r="I103" i="3"/>
  <c r="X102" i="3"/>
  <c r="Z102" i="3" s="1"/>
  <c r="T102" i="3"/>
  <c r="K102" i="3"/>
  <c r="I102" i="3"/>
  <c r="X90" i="3"/>
  <c r="Z90" i="3" s="1"/>
  <c r="V90" i="3"/>
  <c r="I90" i="3"/>
  <c r="Z89" i="3"/>
  <c r="V89" i="3"/>
  <c r="K89" i="3"/>
  <c r="I89" i="3"/>
  <c r="X88" i="3"/>
  <c r="T88" i="3"/>
  <c r="V88" i="3" s="1"/>
  <c r="K88" i="3"/>
  <c r="I88" i="3"/>
  <c r="I87" i="3"/>
  <c r="X62" i="3"/>
  <c r="Z62" i="3" s="1"/>
  <c r="V62" i="3"/>
  <c r="K62" i="3"/>
  <c r="I62" i="3"/>
  <c r="X60" i="3"/>
  <c r="Z60" i="3" s="1"/>
  <c r="V60" i="3"/>
  <c r="K60" i="3"/>
  <c r="I60" i="3"/>
  <c r="X56" i="3"/>
  <c r="K56" i="3"/>
  <c r="I56" i="3"/>
  <c r="X52" i="3"/>
  <c r="Z52" i="3" s="1"/>
  <c r="T52" i="3"/>
  <c r="K52" i="3"/>
  <c r="I52" i="3"/>
  <c r="I46" i="3" s="1"/>
  <c r="X44" i="3"/>
  <c r="T43" i="3"/>
  <c r="K44" i="3"/>
  <c r="K43" i="3" s="1"/>
  <c r="G104" i="8" s="1"/>
  <c r="I44" i="3"/>
  <c r="I43" i="3" s="1"/>
  <c r="D104" i="8" s="1"/>
  <c r="X41" i="3"/>
  <c r="X40" i="3" s="1"/>
  <c r="V41" i="3"/>
  <c r="K41" i="3"/>
  <c r="I41" i="3"/>
  <c r="I40" i="3" s="1"/>
  <c r="X39" i="3"/>
  <c r="Z39" i="3" s="1"/>
  <c r="K39" i="3"/>
  <c r="I39" i="3"/>
  <c r="X38" i="3"/>
  <c r="Z38" i="3" s="1"/>
  <c r="T38" i="3"/>
  <c r="V38" i="3" s="1"/>
  <c r="K38" i="3"/>
  <c r="I38" i="3"/>
  <c r="X37" i="3"/>
  <c r="Z37" i="3" s="1"/>
  <c r="T37" i="3"/>
  <c r="V37" i="3" s="1"/>
  <c r="K37" i="3"/>
  <c r="I37" i="3"/>
  <c r="X25" i="3"/>
  <c r="X24" i="3" s="1"/>
  <c r="K25" i="3"/>
  <c r="I25" i="3"/>
  <c r="X23" i="3"/>
  <c r="Z23" i="3" s="1"/>
  <c r="V23" i="3"/>
  <c r="K23" i="3"/>
  <c r="I23" i="3"/>
  <c r="X22" i="3"/>
  <c r="K22" i="3"/>
  <c r="I22" i="3"/>
  <c r="X20" i="3"/>
  <c r="Z20" i="3" s="1"/>
  <c r="T20" i="3"/>
  <c r="V20" i="3" s="1"/>
  <c r="K20" i="3"/>
  <c r="I20" i="3"/>
  <c r="X18" i="3"/>
  <c r="Z18" i="3" s="1"/>
  <c r="T18" i="3"/>
  <c r="V18" i="3" s="1"/>
  <c r="K18" i="3"/>
  <c r="I18" i="3"/>
  <c r="T17" i="3"/>
  <c r="K17" i="3"/>
  <c r="I17" i="3"/>
  <c r="X9" i="3"/>
  <c r="Z9" i="3" s="1"/>
  <c r="T9" i="3"/>
  <c r="V9" i="3" s="1"/>
  <c r="I9" i="3"/>
  <c r="X7" i="3"/>
  <c r="Z7" i="3" s="1"/>
  <c r="T7" i="3"/>
  <c r="V7" i="3" s="1"/>
  <c r="K7" i="3"/>
  <c r="I7" i="3"/>
  <c r="X6" i="3"/>
  <c r="Z6" i="3" s="1"/>
  <c r="K6" i="3"/>
  <c r="I6" i="3"/>
  <c r="T157" i="4"/>
  <c r="V157" i="4" s="1"/>
  <c r="K157" i="4"/>
  <c r="I157" i="4"/>
  <c r="T156" i="4"/>
  <c r="V156" i="4" s="1"/>
  <c r="K156" i="4"/>
  <c r="I156" i="4"/>
  <c r="T154" i="4"/>
  <c r="V154" i="4" s="1"/>
  <c r="K154" i="4"/>
  <c r="I154" i="4"/>
  <c r="T152" i="4"/>
  <c r="V152" i="4" s="1"/>
  <c r="K152" i="4"/>
  <c r="I152" i="4"/>
  <c r="T151" i="4"/>
  <c r="V151" i="4" s="1"/>
  <c r="K151" i="4"/>
  <c r="I151" i="4"/>
  <c r="T148" i="4"/>
  <c r="V148" i="4" s="1"/>
  <c r="K148" i="4"/>
  <c r="I148" i="4"/>
  <c r="T147" i="4"/>
  <c r="V147" i="4" s="1"/>
  <c r="K147" i="4"/>
  <c r="I147" i="4"/>
  <c r="T146" i="4"/>
  <c r="V146" i="4" s="1"/>
  <c r="K146" i="4"/>
  <c r="I146" i="4"/>
  <c r="T143" i="4"/>
  <c r="V143" i="4" s="1"/>
  <c r="K143" i="4"/>
  <c r="I143" i="4"/>
  <c r="K142" i="4"/>
  <c r="T141" i="4"/>
  <c r="V141" i="4" s="1"/>
  <c r="K141" i="4"/>
  <c r="I141" i="4"/>
  <c r="K137" i="4"/>
  <c r="I137" i="4"/>
  <c r="T134" i="4"/>
  <c r="V134" i="4" s="1"/>
  <c r="K134" i="4"/>
  <c r="I134" i="4"/>
  <c r="T133" i="4"/>
  <c r="V133" i="4" s="1"/>
  <c r="K133" i="4"/>
  <c r="I133" i="4"/>
  <c r="K131" i="4"/>
  <c r="I131" i="4"/>
  <c r="K128" i="4"/>
  <c r="I128" i="4"/>
  <c r="K127" i="4"/>
  <c r="I127" i="4"/>
  <c r="T125" i="4"/>
  <c r="V125" i="4" s="1"/>
  <c r="K125" i="4"/>
  <c r="T122" i="4"/>
  <c r="V122" i="4" s="1"/>
  <c r="K122" i="4"/>
  <c r="I122" i="4"/>
  <c r="K120" i="4"/>
  <c r="I120" i="4"/>
  <c r="T118" i="4"/>
  <c r="V118" i="4" s="1"/>
  <c r="K118" i="4"/>
  <c r="T116" i="4"/>
  <c r="V116" i="4" s="1"/>
  <c r="K116" i="4"/>
  <c r="K115" i="4"/>
  <c r="T114" i="4"/>
  <c r="V114" i="4" s="1"/>
  <c r="K114" i="4"/>
  <c r="T113" i="4"/>
  <c r="V113" i="4" s="1"/>
  <c r="K113" i="4"/>
  <c r="K111" i="4"/>
  <c r="I111" i="4"/>
  <c r="K110" i="4"/>
  <c r="I110" i="4"/>
  <c r="T108" i="4"/>
  <c r="V108" i="4" s="1"/>
  <c r="K108" i="4"/>
  <c r="I108" i="4"/>
  <c r="T107" i="4"/>
  <c r="V107" i="4" s="1"/>
  <c r="K107" i="4"/>
  <c r="I107" i="4"/>
  <c r="T106" i="4"/>
  <c r="I106" i="4"/>
  <c r="K104" i="4"/>
  <c r="K102" i="4"/>
  <c r="I102" i="4"/>
  <c r="K101" i="4"/>
  <c r="I101" i="4"/>
  <c r="G148" i="8"/>
  <c r="D148" i="8"/>
  <c r="K96" i="4"/>
  <c r="K95" i="4" s="1"/>
  <c r="G146" i="8" s="1"/>
  <c r="I96" i="4"/>
  <c r="I95" i="4" s="1"/>
  <c r="D146" i="8" s="1"/>
  <c r="T94" i="4"/>
  <c r="V94" i="4" s="1"/>
  <c r="K94" i="4"/>
  <c r="I94" i="4"/>
  <c r="T92" i="4"/>
  <c r="V92" i="4" s="1"/>
  <c r="K92" i="4"/>
  <c r="I92" i="4"/>
  <c r="T90" i="4"/>
  <c r="V90" i="4" s="1"/>
  <c r="K90" i="4"/>
  <c r="I90" i="4"/>
  <c r="T86" i="4"/>
  <c r="V86" i="4" s="1"/>
  <c r="K86" i="4"/>
  <c r="I86" i="4"/>
  <c r="T85" i="4"/>
  <c r="V85" i="4" s="1"/>
  <c r="K85" i="4"/>
  <c r="I85" i="4"/>
  <c r="K81" i="4"/>
  <c r="I81" i="4"/>
  <c r="T80" i="4"/>
  <c r="V80" i="4" s="1"/>
  <c r="V79" i="4" s="1"/>
  <c r="K80" i="4"/>
  <c r="I80" i="4"/>
  <c r="T78" i="4"/>
  <c r="K78" i="4"/>
  <c r="K77" i="4" s="1"/>
  <c r="G141" i="8" s="1"/>
  <c r="I78" i="4"/>
  <c r="I77" i="4" s="1"/>
  <c r="D141" i="8" s="1"/>
  <c r="T76" i="4"/>
  <c r="V76" i="4" s="1"/>
  <c r="K76" i="4"/>
  <c r="I76" i="4"/>
  <c r="T75" i="4"/>
  <c r="V75" i="4" s="1"/>
  <c r="K75" i="4"/>
  <c r="I75" i="4"/>
  <c r="K74" i="4"/>
  <c r="I74" i="4"/>
  <c r="K71" i="4"/>
  <c r="I71" i="4"/>
  <c r="T69" i="4"/>
  <c r="K70" i="4"/>
  <c r="I70" i="4"/>
  <c r="K68" i="4"/>
  <c r="I68" i="4"/>
  <c r="T67" i="4"/>
  <c r="V67" i="4" s="1"/>
  <c r="K67" i="4"/>
  <c r="I67" i="4"/>
  <c r="T66" i="4"/>
  <c r="V66" i="4" s="1"/>
  <c r="K66" i="4"/>
  <c r="I66" i="4"/>
  <c r="K65" i="4"/>
  <c r="I65" i="4"/>
  <c r="T62" i="4"/>
  <c r="K62" i="4"/>
  <c r="K61" i="4" s="1"/>
  <c r="I62" i="4"/>
  <c r="I61" i="4" s="1"/>
  <c r="T59" i="4"/>
  <c r="K59" i="4"/>
  <c r="I59" i="4"/>
  <c r="L134" i="8"/>
  <c r="T54" i="4"/>
  <c r="V54" i="4" s="1"/>
  <c r="V53" i="4" s="1"/>
  <c r="K54" i="4"/>
  <c r="I54" i="4"/>
  <c r="T48" i="4"/>
  <c r="V48" i="4" s="1"/>
  <c r="K48" i="4"/>
  <c r="I48" i="4"/>
  <c r="T47" i="4"/>
  <c r="V47" i="4" s="1"/>
  <c r="K47" i="4"/>
  <c r="I47" i="4"/>
  <c r="T45" i="4"/>
  <c r="V45" i="4" s="1"/>
  <c r="K45" i="4"/>
  <c r="I45" i="4"/>
  <c r="T40" i="4"/>
  <c r="V40" i="4" s="1"/>
  <c r="K40" i="4"/>
  <c r="I40" i="4"/>
  <c r="T39" i="4"/>
  <c r="V39" i="4" s="1"/>
  <c r="K39" i="4"/>
  <c r="I39" i="4"/>
  <c r="K36" i="4"/>
  <c r="I36" i="4"/>
  <c r="I33" i="4" s="1"/>
  <c r="I26" i="4" s="1"/>
  <c r="K34" i="4"/>
  <c r="K25" i="4"/>
  <c r="I25" i="4"/>
  <c r="K23" i="4"/>
  <c r="I23" i="4"/>
  <c r="T18" i="4"/>
  <c r="V18" i="4" s="1"/>
  <c r="K18" i="4"/>
  <c r="I18" i="4"/>
  <c r="T17" i="4"/>
  <c r="V17" i="4" s="1"/>
  <c r="K17" i="4"/>
  <c r="I17" i="4"/>
  <c r="T16" i="4"/>
  <c r="V16" i="4" s="1"/>
  <c r="K16" i="4"/>
  <c r="I16" i="4"/>
  <c r="T15" i="4"/>
  <c r="V15" i="4" s="1"/>
  <c r="K15" i="4"/>
  <c r="I15" i="4"/>
  <c r="T14" i="4"/>
  <c r="V14" i="4" s="1"/>
  <c r="K14" i="4"/>
  <c r="I14" i="4"/>
  <c r="T13" i="4"/>
  <c r="V13" i="4" s="1"/>
  <c r="K13" i="4"/>
  <c r="I13" i="4"/>
  <c r="T7" i="4"/>
  <c r="V7" i="4" s="1"/>
  <c r="K7" i="4"/>
  <c r="I7" i="4"/>
  <c r="I6" i="4"/>
  <c r="X138" i="5"/>
  <c r="Z138" i="5" s="1"/>
  <c r="T138" i="5"/>
  <c r="V138" i="5" s="1"/>
  <c r="X137" i="5"/>
  <c r="T137" i="5"/>
  <c r="V137" i="5" s="1"/>
  <c r="X133" i="5"/>
  <c r="Z133" i="5" s="1"/>
  <c r="V133" i="5"/>
  <c r="K133" i="5"/>
  <c r="I133" i="5"/>
  <c r="X132" i="5"/>
  <c r="Z132" i="5" s="1"/>
  <c r="T132" i="5"/>
  <c r="K132" i="5"/>
  <c r="I132" i="5"/>
  <c r="T129" i="5"/>
  <c r="V129" i="5" s="1"/>
  <c r="F129" i="5"/>
  <c r="Y129" i="5" s="1"/>
  <c r="X127" i="5"/>
  <c r="Z127" i="5" s="1"/>
  <c r="T127" i="5"/>
  <c r="V127" i="5" s="1"/>
  <c r="K127" i="5"/>
  <c r="I127" i="5"/>
  <c r="K126" i="5"/>
  <c r="I126" i="5"/>
  <c r="X125" i="5"/>
  <c r="T125" i="5"/>
  <c r="V125" i="5" s="1"/>
  <c r="K125" i="5"/>
  <c r="I125" i="5"/>
  <c r="X124" i="5"/>
  <c r="Z124" i="5" s="1"/>
  <c r="K124" i="5"/>
  <c r="I124" i="5"/>
  <c r="X122" i="5"/>
  <c r="Z122" i="5" s="1"/>
  <c r="T122" i="5"/>
  <c r="V122" i="5" s="1"/>
  <c r="K122" i="5"/>
  <c r="I122" i="5"/>
  <c r="X121" i="5"/>
  <c r="Z121" i="5" s="1"/>
  <c r="T121" i="5"/>
  <c r="V121" i="5" s="1"/>
  <c r="K121" i="5"/>
  <c r="I121" i="5"/>
  <c r="X120" i="5"/>
  <c r="Z120" i="5" s="1"/>
  <c r="T120" i="5"/>
  <c r="V120" i="5" s="1"/>
  <c r="K120" i="5"/>
  <c r="I120" i="5"/>
  <c r="X119" i="5"/>
  <c r="Z119" i="5" s="1"/>
  <c r="T119" i="5"/>
  <c r="V119" i="5" s="1"/>
  <c r="K119" i="5"/>
  <c r="X118" i="5"/>
  <c r="Z118" i="5" s="1"/>
  <c r="T118" i="5"/>
  <c r="V118" i="5" s="1"/>
  <c r="K118" i="5"/>
  <c r="I118" i="5"/>
  <c r="X117" i="5"/>
  <c r="Z117" i="5" s="1"/>
  <c r="T117" i="5"/>
  <c r="K117" i="5"/>
  <c r="I117" i="5"/>
  <c r="K114" i="5"/>
  <c r="I114" i="5"/>
  <c r="X113" i="5"/>
  <c r="V113" i="5"/>
  <c r="V110" i="5" s="1"/>
  <c r="K113" i="5"/>
  <c r="I113" i="5"/>
  <c r="X108" i="5"/>
  <c r="Z108" i="5" s="1"/>
  <c r="T108" i="5"/>
  <c r="V108" i="5" s="1"/>
  <c r="K108" i="5"/>
  <c r="I108" i="5"/>
  <c r="X107" i="5"/>
  <c r="Z107" i="5" s="1"/>
  <c r="T107" i="5"/>
  <c r="V107" i="5" s="1"/>
  <c r="K107" i="5"/>
  <c r="I107" i="5"/>
  <c r="X106" i="5"/>
  <c r="T106" i="5"/>
  <c r="V106" i="5" s="1"/>
  <c r="K106" i="5"/>
  <c r="I106" i="5"/>
  <c r="X104" i="5"/>
  <c r="Z104" i="5" s="1"/>
  <c r="T104" i="5"/>
  <c r="V104" i="5" s="1"/>
  <c r="K104" i="5"/>
  <c r="I104" i="5"/>
  <c r="X103" i="5"/>
  <c r="Z103" i="5" s="1"/>
  <c r="T103" i="5"/>
  <c r="V103" i="5" s="1"/>
  <c r="K103" i="5"/>
  <c r="I103" i="5"/>
  <c r="X102" i="5"/>
  <c r="Z102" i="5" s="1"/>
  <c r="V102" i="5"/>
  <c r="K102" i="5"/>
  <c r="I102" i="5"/>
  <c r="X97" i="5"/>
  <c r="Z97" i="5" s="1"/>
  <c r="T97" i="5"/>
  <c r="V97" i="5" s="1"/>
  <c r="K97" i="5"/>
  <c r="I97" i="5"/>
  <c r="X96" i="5"/>
  <c r="Z96" i="5" s="1"/>
  <c r="T96" i="5"/>
  <c r="V96" i="5" s="1"/>
  <c r="K96" i="5"/>
  <c r="I96" i="5"/>
  <c r="X95" i="5"/>
  <c r="Z95" i="5" s="1"/>
  <c r="K95" i="5"/>
  <c r="I95" i="5"/>
  <c r="G187" i="8"/>
  <c r="D187" i="8"/>
  <c r="X90" i="5"/>
  <c r="X85" i="5" s="1"/>
  <c r="Y85" i="5" s="1"/>
  <c r="V90" i="5"/>
  <c r="V85" i="5" s="1"/>
  <c r="K90" i="5"/>
  <c r="K85" i="5" s="1"/>
  <c r="I90" i="5"/>
  <c r="I85" i="5" s="1"/>
  <c r="X84" i="5"/>
  <c r="Z84" i="5" s="1"/>
  <c r="T84" i="5"/>
  <c r="V84" i="5" s="1"/>
  <c r="K84" i="5"/>
  <c r="I84" i="5"/>
  <c r="X83" i="5"/>
  <c r="Z83" i="5" s="1"/>
  <c r="T83" i="5"/>
  <c r="K83" i="5"/>
  <c r="I83" i="5"/>
  <c r="X82" i="5"/>
  <c r="Z82" i="5" s="1"/>
  <c r="V82" i="5"/>
  <c r="K82" i="5"/>
  <c r="I82" i="5"/>
  <c r="X81" i="5"/>
  <c r="Z81" i="5" s="1"/>
  <c r="T81" i="5"/>
  <c r="K81" i="5"/>
  <c r="I81" i="5"/>
  <c r="X80" i="5"/>
  <c r="Z80" i="5" s="1"/>
  <c r="V80" i="5"/>
  <c r="K80" i="5"/>
  <c r="I80" i="5"/>
  <c r="X79" i="5"/>
  <c r="V79" i="5"/>
  <c r="K79" i="5"/>
  <c r="I79" i="5"/>
  <c r="X76" i="5"/>
  <c r="Z76" i="5" s="1"/>
  <c r="T76" i="5"/>
  <c r="V76" i="5" s="1"/>
  <c r="K76" i="5"/>
  <c r="I76" i="5"/>
  <c r="X75" i="5"/>
  <c r="Z75" i="5" s="1"/>
  <c r="T75" i="5"/>
  <c r="K75" i="5"/>
  <c r="I75" i="5"/>
  <c r="X73" i="5"/>
  <c r="Z73" i="5" s="1"/>
  <c r="T73" i="5"/>
  <c r="V73" i="5" s="1"/>
  <c r="K73" i="5"/>
  <c r="I73" i="5"/>
  <c r="X70" i="5"/>
  <c r="Z70" i="5" s="1"/>
  <c r="T70" i="5"/>
  <c r="V70" i="5" s="1"/>
  <c r="K70" i="5"/>
  <c r="I70" i="5"/>
  <c r="X69" i="5"/>
  <c r="T69" i="5"/>
  <c r="V69" i="5" s="1"/>
  <c r="K69" i="5"/>
  <c r="I69" i="5"/>
  <c r="X67" i="5"/>
  <c r="T67" i="5"/>
  <c r="T66" i="5" s="1"/>
  <c r="K67" i="5"/>
  <c r="K66" i="5" s="1"/>
  <c r="G181" i="8" s="1"/>
  <c r="I67" i="5"/>
  <c r="I66" i="5" s="1"/>
  <c r="D181" i="8" s="1"/>
  <c r="X65" i="5"/>
  <c r="Z65" i="5" s="1"/>
  <c r="T65" i="5"/>
  <c r="V65" i="5" s="1"/>
  <c r="K65" i="5"/>
  <c r="I65" i="5"/>
  <c r="X64" i="5"/>
  <c r="Z64" i="5" s="1"/>
  <c r="T64" i="5"/>
  <c r="V64" i="5" s="1"/>
  <c r="K64" i="5"/>
  <c r="I64" i="5"/>
  <c r="X63" i="5"/>
  <c r="Z63" i="5" s="1"/>
  <c r="V63" i="5"/>
  <c r="K63" i="5"/>
  <c r="I63" i="5"/>
  <c r="X62" i="5"/>
  <c r="Z62" i="5" s="1"/>
  <c r="K62" i="5"/>
  <c r="I62" i="5"/>
  <c r="X60" i="5"/>
  <c r="Z60" i="5" s="1"/>
  <c r="T60" i="5"/>
  <c r="V60" i="5" s="1"/>
  <c r="K60" i="5"/>
  <c r="I60" i="5"/>
  <c r="X59" i="5"/>
  <c r="Z59" i="5" s="1"/>
  <c r="K59" i="5"/>
  <c r="I59" i="5"/>
  <c r="G177" i="8"/>
  <c r="D177" i="8"/>
  <c r="X54" i="5"/>
  <c r="Z54" i="5" s="1"/>
  <c r="T54" i="5"/>
  <c r="V54" i="5" s="1"/>
  <c r="K54" i="5"/>
  <c r="I54" i="5"/>
  <c r="X53" i="5"/>
  <c r="Z53" i="5" s="1"/>
  <c r="V53" i="5"/>
  <c r="K53" i="5"/>
  <c r="I53" i="5"/>
  <c r="X52" i="5"/>
  <c r="Z52" i="5" s="1"/>
  <c r="V52" i="5"/>
  <c r="K52" i="5"/>
  <c r="I52" i="5"/>
  <c r="X51" i="5"/>
  <c r="Z51" i="5" s="1"/>
  <c r="T51" i="5"/>
  <c r="V51" i="5" s="1"/>
  <c r="I51" i="5"/>
  <c r="X50" i="5"/>
  <c r="V50" i="5"/>
  <c r="I50" i="5"/>
  <c r="Z46" i="5"/>
  <c r="V46" i="5"/>
  <c r="K46" i="5"/>
  <c r="I46" i="5"/>
  <c r="X45" i="5"/>
  <c r="Z45" i="5" s="1"/>
  <c r="T45" i="5"/>
  <c r="V45" i="5" s="1"/>
  <c r="K45" i="5"/>
  <c r="I45" i="5"/>
  <c r="X38" i="5"/>
  <c r="Z38" i="5" s="1"/>
  <c r="T38" i="5"/>
  <c r="V38" i="5" s="1"/>
  <c r="K38" i="5"/>
  <c r="I38" i="5"/>
  <c r="X37" i="5"/>
  <c r="Z37" i="5" s="1"/>
  <c r="V37" i="5"/>
  <c r="K37" i="5"/>
  <c r="I37" i="5"/>
  <c r="X31" i="5"/>
  <c r="T30" i="5"/>
  <c r="K31" i="5"/>
  <c r="K30" i="5" s="1"/>
  <c r="G170" i="8" s="1"/>
  <c r="I31" i="5"/>
  <c r="I30" i="5" s="1"/>
  <c r="D170" i="8" s="1"/>
  <c r="X28" i="5"/>
  <c r="Z28" i="5" s="1"/>
  <c r="V28" i="5"/>
  <c r="K28" i="5"/>
  <c r="I28" i="5"/>
  <c r="X27" i="5"/>
  <c r="T27" i="5"/>
  <c r="V27" i="5" s="1"/>
  <c r="K27" i="5"/>
  <c r="I27" i="5"/>
  <c r="X25" i="5"/>
  <c r="Z25" i="5" s="1"/>
  <c r="T25" i="5"/>
  <c r="V25" i="5" s="1"/>
  <c r="K25" i="5"/>
  <c r="I25" i="5"/>
  <c r="X24" i="5"/>
  <c r="Z24" i="5" s="1"/>
  <c r="T24" i="5"/>
  <c r="K24" i="5"/>
  <c r="I24" i="5"/>
  <c r="X22" i="5"/>
  <c r="Z22" i="5" s="1"/>
  <c r="T22" i="5"/>
  <c r="V22" i="5" s="1"/>
  <c r="K22" i="5"/>
  <c r="I22" i="5"/>
  <c r="X19" i="5"/>
  <c r="V19" i="5"/>
  <c r="K19" i="5"/>
  <c r="I19" i="5"/>
  <c r="X16" i="5"/>
  <c r="Z16" i="5" s="1"/>
  <c r="T16" i="5"/>
  <c r="V16" i="5" s="1"/>
  <c r="K16" i="5"/>
  <c r="I16" i="5"/>
  <c r="X15" i="5"/>
  <c r="Z15" i="5" s="1"/>
  <c r="T15" i="5"/>
  <c r="V15" i="5" s="1"/>
  <c r="K15" i="5"/>
  <c r="I15" i="5"/>
  <c r="Z14" i="5"/>
  <c r="T14" i="5"/>
  <c r="V14" i="5" s="1"/>
  <c r="K14" i="5"/>
  <c r="I14" i="5"/>
  <c r="X13" i="5"/>
  <c r="Z13" i="5" s="1"/>
  <c r="T13" i="5"/>
  <c r="I13" i="5"/>
  <c r="X11" i="5"/>
  <c r="Z11" i="5" s="1"/>
  <c r="V11" i="5"/>
  <c r="K11" i="5"/>
  <c r="I11" i="5"/>
  <c r="X10" i="5"/>
  <c r="T9" i="5"/>
  <c r="K10" i="5"/>
  <c r="I10" i="5"/>
  <c r="Z27" i="5" l="1"/>
  <c r="X26" i="5"/>
  <c r="J169" i="8" s="1"/>
  <c r="F169" i="8" s="1"/>
  <c r="V106" i="4"/>
  <c r="V105" i="4" s="1"/>
  <c r="T105" i="4"/>
  <c r="K186" i="8"/>
  <c r="K58" i="5"/>
  <c r="I36" i="5"/>
  <c r="D172" i="8" s="1"/>
  <c r="V46" i="4"/>
  <c r="V91" i="4"/>
  <c r="V121" i="4"/>
  <c r="K5" i="3"/>
  <c r="K4" i="3" s="1"/>
  <c r="Z113" i="5"/>
  <c r="Z110" i="5" s="1"/>
  <c r="L192" i="8" s="1"/>
  <c r="X110" i="5"/>
  <c r="I129" i="5"/>
  <c r="I123" i="5" s="1"/>
  <c r="L129" i="5"/>
  <c r="L123" i="5" s="1"/>
  <c r="J129" i="5"/>
  <c r="J123" i="5" s="1"/>
  <c r="V64" i="4"/>
  <c r="Z137" i="5"/>
  <c r="Z134" i="5" s="1"/>
  <c r="L196" i="8" s="1"/>
  <c r="X134" i="5"/>
  <c r="Y134" i="5" s="1"/>
  <c r="Z50" i="5"/>
  <c r="Z49" i="5" s="1"/>
  <c r="Z48" i="5" s="1"/>
  <c r="X49" i="5"/>
  <c r="X48" i="5" s="1"/>
  <c r="V83" i="4"/>
  <c r="Z19" i="5"/>
  <c r="Z18" i="5" s="1"/>
  <c r="L167" i="8" s="1"/>
  <c r="X18" i="5"/>
  <c r="Z26" i="5"/>
  <c r="L169" i="8" s="1"/>
  <c r="Z125" i="5"/>
  <c r="V38" i="4"/>
  <c r="Z10" i="5"/>
  <c r="Z9" i="5" s="1"/>
  <c r="L164" i="8" s="1"/>
  <c r="X9" i="5"/>
  <c r="V134" i="5"/>
  <c r="I5" i="4"/>
  <c r="V73" i="4"/>
  <c r="V144" i="4"/>
  <c r="T77" i="4"/>
  <c r="V78" i="4"/>
  <c r="V77" i="4" s="1"/>
  <c r="V5" i="4"/>
  <c r="V4" i="4" s="1"/>
  <c r="D137" i="8"/>
  <c r="T57" i="4"/>
  <c r="V59" i="4"/>
  <c r="V57" i="4" s="1"/>
  <c r="V109" i="4"/>
  <c r="V140" i="4"/>
  <c r="V150" i="4"/>
  <c r="T61" i="4"/>
  <c r="V62" i="4"/>
  <c r="V61" i="4" s="1"/>
  <c r="Z130" i="3"/>
  <c r="Z129" i="3" s="1"/>
  <c r="L122" i="8" s="1"/>
  <c r="X129" i="3"/>
  <c r="J122" i="8" s="1"/>
  <c r="F122" i="8" s="1"/>
  <c r="V59" i="3"/>
  <c r="K99" i="8"/>
  <c r="T16" i="3"/>
  <c r="Z109" i="3"/>
  <c r="Z107" i="3" s="1"/>
  <c r="L118" i="8" s="1"/>
  <c r="X107" i="3"/>
  <c r="Y107" i="3" s="1"/>
  <c r="Z22" i="3"/>
  <c r="Z21" i="3" s="1"/>
  <c r="X21" i="3"/>
  <c r="K34" i="3"/>
  <c r="K43" i="5"/>
  <c r="G174" i="8" s="1"/>
  <c r="Z79" i="5"/>
  <c r="Z78" i="5" s="1"/>
  <c r="X78" i="5"/>
  <c r="T78" i="5"/>
  <c r="I110" i="5"/>
  <c r="Z126" i="3"/>
  <c r="Z125" i="3" s="1"/>
  <c r="L121" i="8" s="1"/>
  <c r="X125" i="3"/>
  <c r="J121" i="8" s="1"/>
  <c r="F121" i="8" s="1"/>
  <c r="V52" i="3"/>
  <c r="V46" i="3" s="1"/>
  <c r="T46" i="3"/>
  <c r="Z41" i="3"/>
  <c r="Z40" i="3" s="1"/>
  <c r="L103" i="8" s="1"/>
  <c r="J103" i="8"/>
  <c r="F103" i="8" s="1"/>
  <c r="Z25" i="3"/>
  <c r="Z24" i="3" s="1"/>
  <c r="L99" i="8" s="1"/>
  <c r="Z56" i="3"/>
  <c r="Z54" i="3" s="1"/>
  <c r="L107" i="8" s="1"/>
  <c r="X54" i="3"/>
  <c r="J125" i="8"/>
  <c r="F125" i="8" s="1"/>
  <c r="I121" i="4"/>
  <c r="D152" i="8" s="1"/>
  <c r="L156" i="8"/>
  <c r="J156" i="8"/>
  <c r="F156" i="8" s="1"/>
  <c r="I144" i="4"/>
  <c r="D156" i="8" s="1"/>
  <c r="T79" i="4"/>
  <c r="L142" i="8"/>
  <c r="I18" i="5"/>
  <c r="Z90" i="5"/>
  <c r="Z85" i="5" s="1"/>
  <c r="J186" i="8"/>
  <c r="F186" i="8" s="1"/>
  <c r="L151" i="8"/>
  <c r="J151" i="8"/>
  <c r="F151" i="8" s="1"/>
  <c r="Z88" i="3"/>
  <c r="Z86" i="3" s="1"/>
  <c r="Z67" i="3" s="1"/>
  <c r="X86" i="3"/>
  <c r="X67" i="3" s="1"/>
  <c r="V86" i="3"/>
  <c r="V67" i="3" s="1"/>
  <c r="V83" i="5"/>
  <c r="V102" i="3"/>
  <c r="T101" i="3"/>
  <c r="T109" i="4"/>
  <c r="V17" i="3"/>
  <c r="V16" i="3" s="1"/>
  <c r="I69" i="4"/>
  <c r="D139" i="8" s="1"/>
  <c r="Z23" i="5"/>
  <c r="L168" i="8" s="1"/>
  <c r="D129" i="8"/>
  <c r="T136" i="4"/>
  <c r="V49" i="5"/>
  <c r="I9" i="5"/>
  <c r="D160" i="8"/>
  <c r="L154" i="8"/>
  <c r="V6" i="3"/>
  <c r="V5" i="3" s="1"/>
  <c r="V4" i="3" s="1"/>
  <c r="T5" i="3"/>
  <c r="T4" i="3" s="1"/>
  <c r="L157" i="8"/>
  <c r="L150" i="8"/>
  <c r="L149" i="8"/>
  <c r="L133" i="8"/>
  <c r="L152" i="8"/>
  <c r="J148" i="8"/>
  <c r="F148" i="8" s="1"/>
  <c r="L148" i="8"/>
  <c r="L132" i="8"/>
  <c r="J137" i="8"/>
  <c r="F137" i="8" s="1"/>
  <c r="L145" i="8"/>
  <c r="J141" i="8"/>
  <c r="F141" i="8" s="1"/>
  <c r="L141" i="8"/>
  <c r="L129" i="8"/>
  <c r="L140" i="8"/>
  <c r="L138" i="8"/>
  <c r="Z12" i="5"/>
  <c r="J146" i="8"/>
  <c r="F146" i="8" s="1"/>
  <c r="L146" i="8"/>
  <c r="I12" i="5"/>
  <c r="Z58" i="5"/>
  <c r="Z94" i="5"/>
  <c r="L188" i="8" s="1"/>
  <c r="Z99" i="5"/>
  <c r="L189" i="8" s="1"/>
  <c r="L197" i="8"/>
  <c r="K26" i="5"/>
  <c r="X30" i="5"/>
  <c r="J170" i="8" s="1"/>
  <c r="F170" i="8" s="1"/>
  <c r="Z31" i="5"/>
  <c r="Z30" i="5" s="1"/>
  <c r="L170" i="8" s="1"/>
  <c r="Z74" i="5"/>
  <c r="L183" i="8" s="1"/>
  <c r="J187" i="8"/>
  <c r="F187" i="8" s="1"/>
  <c r="L187" i="8"/>
  <c r="X105" i="5"/>
  <c r="J190" i="8" s="1"/>
  <c r="F190" i="8" s="1"/>
  <c r="Z106" i="5"/>
  <c r="Z105" i="5" s="1"/>
  <c r="L190" i="8" s="1"/>
  <c r="Z131" i="5"/>
  <c r="L195" i="8" s="1"/>
  <c r="L173" i="8"/>
  <c r="Z43" i="5"/>
  <c r="L174" i="8" s="1"/>
  <c r="J177" i="8"/>
  <c r="F177" i="8" s="1"/>
  <c r="L177" i="8"/>
  <c r="I94" i="5"/>
  <c r="D188" i="8" s="1"/>
  <c r="I86" i="3"/>
  <c r="I67" i="3" s="1"/>
  <c r="D114" i="8"/>
  <c r="G111" i="8"/>
  <c r="Z117" i="3"/>
  <c r="L119" i="8" s="1"/>
  <c r="Z5" i="3"/>
  <c r="Z4" i="3" s="1"/>
  <c r="Z28" i="3"/>
  <c r="L100" i="8" s="1"/>
  <c r="Z34" i="3"/>
  <c r="L102" i="8" s="1"/>
  <c r="L111" i="8"/>
  <c r="L112" i="8"/>
  <c r="Z101" i="3"/>
  <c r="L117" i="8" s="1"/>
  <c r="L114" i="8"/>
  <c r="L115" i="8"/>
  <c r="Z16" i="3"/>
  <c r="K46" i="3"/>
  <c r="X43" i="3"/>
  <c r="J104" i="8" s="1"/>
  <c r="F104" i="8" s="1"/>
  <c r="Z44" i="3"/>
  <c r="Z43" i="3" s="1"/>
  <c r="L104" i="8" s="1"/>
  <c r="Z46" i="3"/>
  <c r="L106" i="8" s="1"/>
  <c r="Z59" i="3"/>
  <c r="L108" i="8" s="1"/>
  <c r="Z36" i="5"/>
  <c r="L172" i="8" s="1"/>
  <c r="X68" i="5"/>
  <c r="J182" i="8" s="1"/>
  <c r="F182" i="8" s="1"/>
  <c r="Z69" i="5"/>
  <c r="Z68" i="5" s="1"/>
  <c r="L182" i="8" s="1"/>
  <c r="X66" i="5"/>
  <c r="J181" i="8" s="1"/>
  <c r="F181" i="8" s="1"/>
  <c r="Z67" i="5"/>
  <c r="Z66" i="5" s="1"/>
  <c r="L181" i="8" s="1"/>
  <c r="Z61" i="5"/>
  <c r="L180" i="8" s="1"/>
  <c r="X58" i="5"/>
  <c r="V124" i="5"/>
  <c r="V123" i="5" s="1"/>
  <c r="T123" i="5"/>
  <c r="L144" i="8"/>
  <c r="L135" i="8"/>
  <c r="L126" i="8"/>
  <c r="L109" i="8"/>
  <c r="Z116" i="5"/>
  <c r="L193" i="8" s="1"/>
  <c r="T94" i="5"/>
  <c r="K18" i="5"/>
  <c r="K23" i="5"/>
  <c r="G168" i="8" s="1"/>
  <c r="D173" i="8"/>
  <c r="X61" i="5"/>
  <c r="J180" i="8" s="1"/>
  <c r="F180" i="8" s="1"/>
  <c r="K9" i="5"/>
  <c r="I23" i="5"/>
  <c r="D168" i="8" s="1"/>
  <c r="T26" i="5"/>
  <c r="T23" i="5"/>
  <c r="X74" i="5"/>
  <c r="J183" i="8" s="1"/>
  <c r="F183" i="8" s="1"/>
  <c r="K105" i="5"/>
  <c r="G190" i="8" s="1"/>
  <c r="K78" i="5"/>
  <c r="V94" i="5"/>
  <c r="D163" i="8"/>
  <c r="G173" i="8"/>
  <c r="I58" i="5"/>
  <c r="D197" i="8"/>
  <c r="K12" i="5"/>
  <c r="J171" i="8"/>
  <c r="F171" i="8" s="1"/>
  <c r="J173" i="8"/>
  <c r="F173" i="8" s="1"/>
  <c r="X43" i="5"/>
  <c r="Y43" i="5" s="1"/>
  <c r="Y17" i="5" s="1"/>
  <c r="K61" i="5"/>
  <c r="G180" i="8" s="1"/>
  <c r="K94" i="5"/>
  <c r="G188" i="8" s="1"/>
  <c r="G197" i="8"/>
  <c r="D186" i="8"/>
  <c r="I105" i="5"/>
  <c r="D190" i="8" s="1"/>
  <c r="I140" i="4"/>
  <c r="D155" i="8" s="1"/>
  <c r="K5" i="4"/>
  <c r="T22" i="4"/>
  <c r="T38" i="4"/>
  <c r="T5" i="4"/>
  <c r="T134" i="5"/>
  <c r="K134" i="5"/>
  <c r="G196" i="8" s="1"/>
  <c r="I134" i="5"/>
  <c r="D196" i="8" s="1"/>
  <c r="K131" i="5"/>
  <c r="G195" i="8" s="1"/>
  <c r="I131" i="5"/>
  <c r="D195" i="8" s="1"/>
  <c r="X116" i="5"/>
  <c r="T33" i="4"/>
  <c r="T26" i="4" s="1"/>
  <c r="T36" i="5"/>
  <c r="T49" i="5"/>
  <c r="T48" i="5" s="1"/>
  <c r="V24" i="5"/>
  <c r="V23" i="5" s="1"/>
  <c r="I49" i="5"/>
  <c r="I48" i="5" s="1"/>
  <c r="V68" i="5"/>
  <c r="I99" i="5"/>
  <c r="D189" i="8" s="1"/>
  <c r="K129" i="5"/>
  <c r="K123" i="5" s="1"/>
  <c r="X23" i="5"/>
  <c r="J168" i="8" s="1"/>
  <c r="F168" i="8" s="1"/>
  <c r="K36" i="5"/>
  <c r="G172" i="8" s="1"/>
  <c r="K49" i="5"/>
  <c r="K48" i="5" s="1"/>
  <c r="K99" i="5"/>
  <c r="G189" i="8" s="1"/>
  <c r="V105" i="5"/>
  <c r="I116" i="5"/>
  <c r="D193" i="8" s="1"/>
  <c r="K110" i="5"/>
  <c r="V26" i="5"/>
  <c r="D171" i="8"/>
  <c r="V36" i="5"/>
  <c r="T99" i="5"/>
  <c r="K116" i="5"/>
  <c r="G193" i="8" s="1"/>
  <c r="X129" i="5"/>
  <c r="J197" i="8"/>
  <c r="F197" i="8" s="1"/>
  <c r="J163" i="8"/>
  <c r="F163" i="8" s="1"/>
  <c r="G171" i="8"/>
  <c r="X36" i="5"/>
  <c r="J172" i="8" s="1"/>
  <c r="F172" i="8" s="1"/>
  <c r="K68" i="5"/>
  <c r="G182" i="8" s="1"/>
  <c r="I74" i="5"/>
  <c r="D183" i="8" s="1"/>
  <c r="T110" i="5"/>
  <c r="T116" i="5"/>
  <c r="T131" i="5"/>
  <c r="T18" i="5"/>
  <c r="T68" i="5"/>
  <c r="I78" i="5"/>
  <c r="X131" i="5"/>
  <c r="J195" i="8" s="1"/>
  <c r="F195" i="8" s="1"/>
  <c r="J135" i="8"/>
  <c r="F135" i="8" s="1"/>
  <c r="K22" i="4"/>
  <c r="I105" i="4"/>
  <c r="D150" i="8" s="1"/>
  <c r="K38" i="4"/>
  <c r="T95" i="4"/>
  <c r="G133" i="8"/>
  <c r="G137" i="8"/>
  <c r="T91" i="4"/>
  <c r="I64" i="4"/>
  <c r="I79" i="4"/>
  <c r="K46" i="4"/>
  <c r="G132" i="8" s="1"/>
  <c r="I136" i="4"/>
  <c r="K33" i="4"/>
  <c r="K26" i="4" s="1"/>
  <c r="T53" i="4"/>
  <c r="I73" i="4"/>
  <c r="D140" i="8" s="1"/>
  <c r="J133" i="8"/>
  <c r="F133" i="8" s="1"/>
  <c r="K69" i="4"/>
  <c r="G139" i="8" s="1"/>
  <c r="J145" i="8"/>
  <c r="F145" i="8" s="1"/>
  <c r="K100" i="4"/>
  <c r="D133" i="8"/>
  <c r="T100" i="4"/>
  <c r="K64" i="4"/>
  <c r="G138" i="8" s="1"/>
  <c r="K109" i="4"/>
  <c r="T140" i="4"/>
  <c r="J128" i="8"/>
  <c r="F128" i="8" s="1"/>
  <c r="T46" i="4"/>
  <c r="I57" i="4"/>
  <c r="J140" i="8"/>
  <c r="F140" i="8" s="1"/>
  <c r="I91" i="4"/>
  <c r="D145" i="8" s="1"/>
  <c r="I46" i="4"/>
  <c r="K79" i="4"/>
  <c r="T150" i="4"/>
  <c r="I150" i="4"/>
  <c r="D157" i="8" s="1"/>
  <c r="K105" i="4"/>
  <c r="G150" i="8" s="1"/>
  <c r="I100" i="4"/>
  <c r="J132" i="8"/>
  <c r="F132" i="8" s="1"/>
  <c r="J138" i="8"/>
  <c r="F138" i="8" s="1"/>
  <c r="K140" i="4"/>
  <c r="G155" i="8" s="1"/>
  <c r="I22" i="4"/>
  <c r="K53" i="4"/>
  <c r="G134" i="8" s="1"/>
  <c r="I53" i="4"/>
  <c r="D134" i="8" s="1"/>
  <c r="J139" i="8"/>
  <c r="F139" i="8" s="1"/>
  <c r="J150" i="8"/>
  <c r="F150" i="8" s="1"/>
  <c r="J157" i="8"/>
  <c r="F157" i="8" s="1"/>
  <c r="D103" i="8"/>
  <c r="T34" i="3"/>
  <c r="I54" i="3"/>
  <c r="D107" i="8" s="1"/>
  <c r="I21" i="3"/>
  <c r="D98" i="8" s="1"/>
  <c r="K54" i="3"/>
  <c r="G107" i="8" s="1"/>
  <c r="T40" i="3"/>
  <c r="T24" i="3"/>
  <c r="G114" i="8"/>
  <c r="X59" i="3"/>
  <c r="J109" i="8"/>
  <c r="F109" i="8" s="1"/>
  <c r="X16" i="3"/>
  <c r="G112" i="8"/>
  <c r="K21" i="3"/>
  <c r="G98" i="8" s="1"/>
  <c r="D100" i="8"/>
  <c r="V40" i="3"/>
  <c r="J112" i="8"/>
  <c r="F112" i="8" s="1"/>
  <c r="D115" i="8"/>
  <c r="J115" i="8"/>
  <c r="K125" i="3"/>
  <c r="K129" i="3"/>
  <c r="G122" i="8" s="1"/>
  <c r="K86" i="3"/>
  <c r="K67" i="3" s="1"/>
  <c r="T117" i="3"/>
  <c r="T129" i="3"/>
  <c r="K101" i="3"/>
  <c r="V103" i="3"/>
  <c r="I107" i="3"/>
  <c r="D118" i="8" s="1"/>
  <c r="I16" i="3"/>
  <c r="K16" i="3"/>
  <c r="X34" i="3"/>
  <c r="K59" i="3"/>
  <c r="G108" i="8" s="1"/>
  <c r="G115" i="8"/>
  <c r="I129" i="3"/>
  <c r="D122" i="8" s="1"/>
  <c r="T59" i="3"/>
  <c r="K40" i="3"/>
  <c r="G103" i="8" s="1"/>
  <c r="D95" i="8"/>
  <c r="I34" i="3"/>
  <c r="I33" i="3" s="1"/>
  <c r="J114" i="8"/>
  <c r="F114" i="8" s="1"/>
  <c r="X117" i="3"/>
  <c r="J119" i="8" s="1"/>
  <c r="F119" i="8" s="1"/>
  <c r="I5" i="3"/>
  <c r="I4" i="3" s="1"/>
  <c r="I24" i="3"/>
  <c r="D99" i="8" s="1"/>
  <c r="X46" i="3"/>
  <c r="J111" i="8"/>
  <c r="F111" i="8" s="1"/>
  <c r="I101" i="3"/>
  <c r="K107" i="3"/>
  <c r="G118" i="8" s="1"/>
  <c r="I117" i="3"/>
  <c r="D119" i="8" s="1"/>
  <c r="X5" i="3"/>
  <c r="X4" i="3" s="1"/>
  <c r="K24" i="3"/>
  <c r="G99" i="8" s="1"/>
  <c r="I59" i="3"/>
  <c r="D108" i="8" s="1"/>
  <c r="D112" i="8"/>
  <c r="X101" i="3"/>
  <c r="K117" i="3"/>
  <c r="G119" i="8" s="1"/>
  <c r="V126" i="3"/>
  <c r="V125" i="3" s="1"/>
  <c r="V107" i="3"/>
  <c r="V117" i="3"/>
  <c r="T86" i="3"/>
  <c r="T67" i="3" s="1"/>
  <c r="T107" i="3"/>
  <c r="V44" i="3"/>
  <c r="V43" i="3" s="1"/>
  <c r="T54" i="3"/>
  <c r="V130" i="3"/>
  <c r="V129" i="3" s="1"/>
  <c r="V22" i="3"/>
  <c r="V21" i="3" s="1"/>
  <c r="V34" i="3"/>
  <c r="V25" i="3"/>
  <c r="V24" i="3" s="1"/>
  <c r="K57" i="4"/>
  <c r="T83" i="4"/>
  <c r="K91" i="4"/>
  <c r="G145" i="8" s="1"/>
  <c r="K121" i="4"/>
  <c r="G152" i="8" s="1"/>
  <c r="J134" i="8"/>
  <c r="F134" i="8" s="1"/>
  <c r="T121" i="4"/>
  <c r="I38" i="4"/>
  <c r="K136" i="4"/>
  <c r="K73" i="4"/>
  <c r="G140" i="8" s="1"/>
  <c r="I83" i="4"/>
  <c r="I109" i="4"/>
  <c r="J152" i="8"/>
  <c r="K144" i="4"/>
  <c r="G156" i="8" s="1"/>
  <c r="K150" i="4"/>
  <c r="G157" i="8" s="1"/>
  <c r="T73" i="4"/>
  <c r="K83" i="4"/>
  <c r="T144" i="4"/>
  <c r="V10" i="5"/>
  <c r="V9" i="5" s="1"/>
  <c r="V62" i="5"/>
  <c r="V61" i="5" s="1"/>
  <c r="T61" i="5"/>
  <c r="V99" i="5"/>
  <c r="V132" i="5"/>
  <c r="V131" i="5" s="1"/>
  <c r="I26" i="5"/>
  <c r="I43" i="5"/>
  <c r="D174" i="8" s="1"/>
  <c r="I68" i="5"/>
  <c r="D182" i="8" s="1"/>
  <c r="X99" i="5"/>
  <c r="J189" i="8" s="1"/>
  <c r="F189" i="8" s="1"/>
  <c r="T12" i="5"/>
  <c r="T4" i="5" s="1"/>
  <c r="V18" i="5"/>
  <c r="K74" i="5"/>
  <c r="G183" i="8" s="1"/>
  <c r="V81" i="5"/>
  <c r="V13" i="5"/>
  <c r="V12" i="5" s="1"/>
  <c r="V31" i="5"/>
  <c r="V30" i="5" s="1"/>
  <c r="T43" i="5"/>
  <c r="V43" i="5"/>
  <c r="T74" i="5"/>
  <c r="G186" i="8"/>
  <c r="X12" i="5"/>
  <c r="T85" i="5"/>
  <c r="X94" i="5"/>
  <c r="T58" i="5"/>
  <c r="I61" i="5"/>
  <c r="D180" i="8" s="1"/>
  <c r="T105" i="5"/>
  <c r="V59" i="5"/>
  <c r="V58" i="5" s="1"/>
  <c r="V75" i="5"/>
  <c r="V74" i="5" s="1"/>
  <c r="V117" i="5"/>
  <c r="V116" i="5" s="1"/>
  <c r="V67" i="5"/>
  <c r="V66" i="5" s="1"/>
  <c r="X45" i="3" l="1"/>
  <c r="Y45" i="3" s="1"/>
  <c r="X15" i="3"/>
  <c r="J108" i="8"/>
  <c r="F108" i="8" s="1"/>
  <c r="K108" i="8"/>
  <c r="J118" i="8"/>
  <c r="F118" i="8" s="1"/>
  <c r="J174" i="8"/>
  <c r="F174" i="8" s="1"/>
  <c r="J196" i="8"/>
  <c r="F196" i="8" s="1"/>
  <c r="K196" i="8"/>
  <c r="J188" i="8"/>
  <c r="F188" i="8" s="1"/>
  <c r="Y94" i="5"/>
  <c r="Y77" i="5" s="1"/>
  <c r="Y68" i="5"/>
  <c r="X17" i="5"/>
  <c r="J164" i="8"/>
  <c r="F164" i="8" s="1"/>
  <c r="X4" i="5"/>
  <c r="Y4" i="5" s="1"/>
  <c r="Z4" i="5"/>
  <c r="I17" i="5"/>
  <c r="V37" i="4"/>
  <c r="F37" i="4" s="1"/>
  <c r="V82" i="4"/>
  <c r="F82" i="4" s="1"/>
  <c r="V97" i="4"/>
  <c r="F97" i="4" s="1"/>
  <c r="I97" i="4"/>
  <c r="D159" i="8"/>
  <c r="K96" i="8"/>
  <c r="V48" i="5"/>
  <c r="F48" i="5" s="1"/>
  <c r="I60" i="4"/>
  <c r="Z129" i="5"/>
  <c r="Z123" i="5" s="1"/>
  <c r="L194" i="8" s="1"/>
  <c r="L191" i="8" s="1"/>
  <c r="AA129" i="5"/>
  <c r="E194" i="8"/>
  <c r="E191" i="8" s="1"/>
  <c r="J109" i="5"/>
  <c r="J3" i="5" s="1"/>
  <c r="E161" i="8" s="1"/>
  <c r="I109" i="5"/>
  <c r="H194" i="8"/>
  <c r="H191" i="8" s="1"/>
  <c r="L109" i="5"/>
  <c r="L3" i="5" s="1"/>
  <c r="H161" i="8" s="1"/>
  <c r="P8" i="7" s="1"/>
  <c r="I77" i="5"/>
  <c r="X77" i="5"/>
  <c r="V57" i="5"/>
  <c r="F57" i="5" s="1"/>
  <c r="T109" i="5"/>
  <c r="I57" i="5"/>
  <c r="T17" i="5"/>
  <c r="AA125" i="5"/>
  <c r="T97" i="4"/>
  <c r="V135" i="4"/>
  <c r="F135" i="4" s="1"/>
  <c r="I135" i="4"/>
  <c r="V60" i="4"/>
  <c r="I124" i="3"/>
  <c r="V101" i="3"/>
  <c r="V100" i="3" s="1"/>
  <c r="F100" i="3" s="1"/>
  <c r="K45" i="3"/>
  <c r="I100" i="3"/>
  <c r="G165" i="8"/>
  <c r="K4" i="5"/>
  <c r="D165" i="8"/>
  <c r="I4" i="5"/>
  <c r="G169" i="8"/>
  <c r="K17" i="5"/>
  <c r="V45" i="3"/>
  <c r="F45" i="3" s="1"/>
  <c r="X33" i="3"/>
  <c r="K124" i="3"/>
  <c r="I15" i="3"/>
  <c r="T45" i="3"/>
  <c r="K100" i="3"/>
  <c r="V4" i="5"/>
  <c r="F4" i="5" s="1"/>
  <c r="K109" i="5"/>
  <c r="L176" i="8"/>
  <c r="V109" i="5"/>
  <c r="F109" i="5" s="1"/>
  <c r="Z57" i="5"/>
  <c r="T37" i="4"/>
  <c r="L131" i="8"/>
  <c r="K37" i="4"/>
  <c r="I37" i="4"/>
  <c r="J117" i="8"/>
  <c r="F117" i="8" s="1"/>
  <c r="X100" i="3"/>
  <c r="J102" i="8"/>
  <c r="F102" i="8" s="1"/>
  <c r="V15" i="3"/>
  <c r="F15" i="3" s="1"/>
  <c r="I45" i="3"/>
  <c r="L186" i="8"/>
  <c r="Z77" i="5"/>
  <c r="I82" i="4"/>
  <c r="D125" i="8"/>
  <c r="I4" i="4"/>
  <c r="J106" i="8"/>
  <c r="F106" i="8" s="1"/>
  <c r="D132" i="8"/>
  <c r="L113" i="8"/>
  <c r="D138" i="8"/>
  <c r="D164" i="8"/>
  <c r="T77" i="5"/>
  <c r="V78" i="5"/>
  <c r="V77" i="5" s="1"/>
  <c r="F77" i="5" s="1"/>
  <c r="K33" i="3"/>
  <c r="K15" i="3"/>
  <c r="L94" i="8"/>
  <c r="J94" i="8"/>
  <c r="F94" i="8" s="1"/>
  <c r="J144" i="8"/>
  <c r="F144" i="8" s="1"/>
  <c r="J165" i="8"/>
  <c r="F165" i="8" s="1"/>
  <c r="L165" i="8"/>
  <c r="L98" i="8"/>
  <c r="Z15" i="3"/>
  <c r="T64" i="4"/>
  <c r="G97" i="8"/>
  <c r="D97" i="8"/>
  <c r="D106" i="8"/>
  <c r="G106" i="8"/>
  <c r="J97" i="8"/>
  <c r="F97" i="8" s="1"/>
  <c r="G94" i="8"/>
  <c r="J107" i="8"/>
  <c r="F107" i="8" s="1"/>
  <c r="G113" i="8"/>
  <c r="G110" i="8" s="1"/>
  <c r="D113" i="8"/>
  <c r="J113" i="8"/>
  <c r="G167" i="8"/>
  <c r="D167" i="8"/>
  <c r="G192" i="8"/>
  <c r="K77" i="5"/>
  <c r="D192" i="8"/>
  <c r="J192" i="8"/>
  <c r="F192" i="8" s="1"/>
  <c r="J167" i="8"/>
  <c r="F167" i="8" s="1"/>
  <c r="D149" i="8"/>
  <c r="T135" i="4"/>
  <c r="G125" i="8"/>
  <c r="K4" i="4"/>
  <c r="G129" i="8"/>
  <c r="G131" i="8"/>
  <c r="J154" i="8"/>
  <c r="F154" i="8" s="1"/>
  <c r="K135" i="4"/>
  <c r="G149" i="8"/>
  <c r="K97" i="4"/>
  <c r="D131" i="8"/>
  <c r="J131" i="8"/>
  <c r="L127" i="8"/>
  <c r="J149" i="8"/>
  <c r="F149" i="8" s="1"/>
  <c r="D158" i="8"/>
  <c r="G163" i="8"/>
  <c r="J160" i="8"/>
  <c r="F160" i="8" s="1"/>
  <c r="L137" i="8"/>
  <c r="V33" i="3"/>
  <c r="F33" i="3" s="1"/>
  <c r="L179" i="8"/>
  <c r="L163" i="8"/>
  <c r="L139" i="8"/>
  <c r="F4" i="4"/>
  <c r="Z124" i="3"/>
  <c r="G128" i="8"/>
  <c r="D128" i="8"/>
  <c r="L155" i="8"/>
  <c r="L153" i="8" s="1"/>
  <c r="L125" i="8"/>
  <c r="L160" i="8"/>
  <c r="L159" i="8" s="1"/>
  <c r="L147" i="8"/>
  <c r="G160" i="8"/>
  <c r="G158" i="8"/>
  <c r="J155" i="8"/>
  <c r="F155" i="8" s="1"/>
  <c r="D154" i="8"/>
  <c r="G154" i="8"/>
  <c r="L95" i="8"/>
  <c r="L143" i="8"/>
  <c r="X123" i="5"/>
  <c r="L166" i="8"/>
  <c r="G185" i="8"/>
  <c r="G184" i="8" s="1"/>
  <c r="D185" i="8"/>
  <c r="D176" i="8"/>
  <c r="G176" i="8"/>
  <c r="G175" i="8" s="1"/>
  <c r="Z17" i="5"/>
  <c r="L185" i="8"/>
  <c r="L101" i="8"/>
  <c r="F67" i="3"/>
  <c r="D111" i="8"/>
  <c r="G109" i="8"/>
  <c r="G117" i="8"/>
  <c r="G102" i="8"/>
  <c r="L97" i="8"/>
  <c r="F4" i="3"/>
  <c r="Z45" i="3"/>
  <c r="G95" i="8"/>
  <c r="D102" i="8"/>
  <c r="L105" i="8"/>
  <c r="Z100" i="3"/>
  <c r="D94" i="8"/>
  <c r="L116" i="8"/>
  <c r="D117" i="8"/>
  <c r="Z33" i="3"/>
  <c r="G164" i="8"/>
  <c r="L120" i="8"/>
  <c r="J99" i="8"/>
  <c r="F99" i="8" s="1"/>
  <c r="D169" i="8"/>
  <c r="T57" i="5"/>
  <c r="X57" i="5"/>
  <c r="J179" i="8"/>
  <c r="F179" i="8" s="1"/>
  <c r="D179" i="8"/>
  <c r="G179" i="8"/>
  <c r="K57" i="5"/>
  <c r="D194" i="8"/>
  <c r="G194" i="8"/>
  <c r="G151" i="8"/>
  <c r="D151" i="8"/>
  <c r="D144" i="8"/>
  <c r="G144" i="8"/>
  <c r="K82" i="4"/>
  <c r="J142" i="8"/>
  <c r="F142" i="8" s="1"/>
  <c r="G142" i="8"/>
  <c r="K60" i="4"/>
  <c r="D142" i="8"/>
  <c r="D135" i="8"/>
  <c r="G135" i="8"/>
  <c r="D126" i="8"/>
  <c r="T4" i="4"/>
  <c r="G126" i="8"/>
  <c r="D121" i="8"/>
  <c r="G121" i="8"/>
  <c r="D109" i="8"/>
  <c r="J120" i="8"/>
  <c r="F120" i="8" s="1"/>
  <c r="J193" i="8"/>
  <c r="F193" i="8" s="1"/>
  <c r="J176" i="8"/>
  <c r="F176" i="8" s="1"/>
  <c r="J185" i="8"/>
  <c r="F185" i="8" s="1"/>
  <c r="G100" i="8"/>
  <c r="J129" i="8"/>
  <c r="F26" i="4"/>
  <c r="T33" i="3"/>
  <c r="T15" i="3"/>
  <c r="F167" i="4"/>
  <c r="T82" i="4"/>
  <c r="J126" i="8"/>
  <c r="F126" i="8" s="1"/>
  <c r="T124" i="3"/>
  <c r="J100" i="8"/>
  <c r="F100" i="8" s="1"/>
  <c r="T100" i="3"/>
  <c r="X124" i="3"/>
  <c r="J98" i="8"/>
  <c r="F98" i="8" s="1"/>
  <c r="V124" i="3"/>
  <c r="F124" i="3" s="1"/>
  <c r="V17" i="5"/>
  <c r="F17" i="5" s="1"/>
  <c r="B203" i="8"/>
  <c r="B199" i="8"/>
  <c r="B198" i="8"/>
  <c r="B191" i="8"/>
  <c r="B184" i="8"/>
  <c r="B178" i="8"/>
  <c r="B175" i="8"/>
  <c r="B166" i="8"/>
  <c r="B162" i="8"/>
  <c r="B161" i="8"/>
  <c r="B159" i="8"/>
  <c r="B153" i="8"/>
  <c r="B147" i="8"/>
  <c r="B143" i="8"/>
  <c r="B136" i="8"/>
  <c r="B130" i="8"/>
  <c r="B127" i="8"/>
  <c r="B124" i="8"/>
  <c r="B123" i="8"/>
  <c r="B120" i="8"/>
  <c r="B116" i="8"/>
  <c r="B110" i="8"/>
  <c r="B105" i="8"/>
  <c r="B101" i="8"/>
  <c r="B96" i="8"/>
  <c r="B93" i="8"/>
  <c r="B92" i="8"/>
  <c r="B88" i="8"/>
  <c r="B80" i="8"/>
  <c r="B73" i="8"/>
  <c r="B68" i="8"/>
  <c r="B64" i="8"/>
  <c r="B47" i="8"/>
  <c r="B46" i="8"/>
  <c r="B34" i="8"/>
  <c r="B26" i="8"/>
  <c r="B21" i="8"/>
  <c r="B20" i="8"/>
  <c r="B19" i="8"/>
  <c r="B18" i="8"/>
  <c r="B17" i="8"/>
  <c r="B16" i="8"/>
  <c r="B15" i="8"/>
  <c r="B14" i="8"/>
  <c r="B13" i="8"/>
  <c r="B12" i="8"/>
  <c r="B11" i="8"/>
  <c r="B10" i="8"/>
  <c r="B9" i="8"/>
  <c r="B8" i="8"/>
  <c r="B7" i="8"/>
  <c r="B6" i="8"/>
  <c r="B5" i="8"/>
  <c r="K105" i="8" l="1"/>
  <c r="K118" i="8"/>
  <c r="Y100" i="3"/>
  <c r="Y3" i="3" s="1"/>
  <c r="K174" i="8"/>
  <c r="K188" i="8"/>
  <c r="K182" i="8"/>
  <c r="Y57" i="5"/>
  <c r="AA123" i="5"/>
  <c r="AA109" i="5" s="1"/>
  <c r="I3" i="5"/>
  <c r="D161" i="8" s="1"/>
  <c r="X3" i="3"/>
  <c r="J92" i="8" s="1"/>
  <c r="F92" i="8" s="1"/>
  <c r="E8" i="7"/>
  <c r="Y123" i="5"/>
  <c r="J130" i="8"/>
  <c r="F130" i="8" s="1"/>
  <c r="F131" i="8"/>
  <c r="J127" i="8"/>
  <c r="F127" i="8" s="1"/>
  <c r="F129" i="8"/>
  <c r="F113" i="8"/>
  <c r="D101" i="8"/>
  <c r="D184" i="8"/>
  <c r="T3" i="5"/>
  <c r="D120" i="8"/>
  <c r="D178" i="8"/>
  <c r="D143" i="8"/>
  <c r="D116" i="8"/>
  <c r="D127" i="8"/>
  <c r="Z109" i="5"/>
  <c r="Z3" i="5" s="1"/>
  <c r="L161" i="8" s="1"/>
  <c r="G166" i="8"/>
  <c r="I3" i="4"/>
  <c r="D123" i="8" s="1"/>
  <c r="D162" i="8"/>
  <c r="K3" i="5"/>
  <c r="G161" i="8" s="1"/>
  <c r="L110" i="8"/>
  <c r="J153" i="8"/>
  <c r="F153" i="8" s="1"/>
  <c r="D175" i="8"/>
  <c r="K3" i="4"/>
  <c r="G123" i="8" s="1"/>
  <c r="V3" i="3"/>
  <c r="G191" i="8"/>
  <c r="V3" i="5"/>
  <c r="L175" i="8"/>
  <c r="D191" i="8"/>
  <c r="D130" i="8"/>
  <c r="D124" i="8"/>
  <c r="L130" i="8"/>
  <c r="G127" i="8"/>
  <c r="D136" i="8"/>
  <c r="G130" i="8"/>
  <c r="J101" i="8"/>
  <c r="F101" i="8" s="1"/>
  <c r="D93" i="8"/>
  <c r="G93" i="8"/>
  <c r="J194" i="8"/>
  <c r="X109" i="5"/>
  <c r="X3" i="5" s="1"/>
  <c r="G162" i="8"/>
  <c r="J123" i="8"/>
  <c r="F123" i="8" s="1"/>
  <c r="L96" i="8"/>
  <c r="G96" i="8"/>
  <c r="J110" i="8"/>
  <c r="J96" i="8"/>
  <c r="F96" i="8" s="1"/>
  <c r="D96" i="8"/>
  <c r="D110" i="8"/>
  <c r="L162" i="8"/>
  <c r="J162" i="8"/>
  <c r="F162" i="8" s="1"/>
  <c r="D105" i="8"/>
  <c r="G105" i="8"/>
  <c r="J105" i="8"/>
  <c r="F105" i="8" s="1"/>
  <c r="D166" i="8"/>
  <c r="L184" i="8"/>
  <c r="L178" i="8"/>
  <c r="J166" i="8"/>
  <c r="F166" i="8" s="1"/>
  <c r="J175" i="8"/>
  <c r="F175" i="8" s="1"/>
  <c r="J147" i="8"/>
  <c r="F147" i="8" s="1"/>
  <c r="G153" i="8"/>
  <c r="D153" i="8"/>
  <c r="L123" i="8"/>
  <c r="L124" i="8"/>
  <c r="G147" i="8"/>
  <c r="D147" i="8"/>
  <c r="L136" i="8"/>
  <c r="L93" i="8"/>
  <c r="Z3" i="3"/>
  <c r="L92" i="8" s="1"/>
  <c r="T3" i="3"/>
  <c r="F60" i="4"/>
  <c r="V3" i="4" s="1"/>
  <c r="J95" i="8"/>
  <c r="F95" i="8" s="1"/>
  <c r="K3" i="3"/>
  <c r="G92" i="8" s="1"/>
  <c r="I3" i="3"/>
  <c r="B9" i="7"/>
  <c r="B8" i="7"/>
  <c r="B7" i="7"/>
  <c r="B6" i="7"/>
  <c r="B5" i="7"/>
  <c r="B4" i="7"/>
  <c r="X49" i="6"/>
  <c r="Z49" i="6" s="1"/>
  <c r="T49" i="6"/>
  <c r="V49" i="6" s="1"/>
  <c r="K49" i="6"/>
  <c r="I49" i="6"/>
  <c r="X44" i="6"/>
  <c r="Z44" i="6" s="1"/>
  <c r="T44" i="6"/>
  <c r="V44" i="6" s="1"/>
  <c r="K44" i="6"/>
  <c r="I44" i="6"/>
  <c r="X39" i="6"/>
  <c r="Z39" i="6" s="1"/>
  <c r="T39" i="6"/>
  <c r="V39" i="6" s="1"/>
  <c r="K39" i="6"/>
  <c r="I39" i="6"/>
  <c r="X35" i="6"/>
  <c r="Z35" i="6" s="1"/>
  <c r="T35" i="6"/>
  <c r="V35" i="6" s="1"/>
  <c r="K35" i="6"/>
  <c r="I35" i="6"/>
  <c r="X33" i="6"/>
  <c r="T33" i="6"/>
  <c r="V33" i="6" s="1"/>
  <c r="K33" i="6"/>
  <c r="I33" i="6"/>
  <c r="X18" i="6"/>
  <c r="Z18" i="6" s="1"/>
  <c r="T18" i="6"/>
  <c r="K18" i="6"/>
  <c r="I18" i="6"/>
  <c r="X17" i="6"/>
  <c r="Z17" i="6" s="1"/>
  <c r="T17" i="6"/>
  <c r="V17" i="6" s="1"/>
  <c r="K17" i="6"/>
  <c r="I17" i="6"/>
  <c r="X13" i="6"/>
  <c r="Z13" i="6" s="1"/>
  <c r="T13" i="6"/>
  <c r="V13" i="6" s="1"/>
  <c r="K13" i="6"/>
  <c r="I13" i="6"/>
  <c r="X11" i="6"/>
  <c r="Z11" i="6" s="1"/>
  <c r="T11" i="6"/>
  <c r="V11" i="6" s="1"/>
  <c r="K11" i="6"/>
  <c r="I11" i="6"/>
  <c r="X8" i="6"/>
  <c r="Z8" i="6" s="1"/>
  <c r="T8" i="6"/>
  <c r="V8" i="6" s="1"/>
  <c r="K8" i="6"/>
  <c r="I8" i="6"/>
  <c r="X7" i="6"/>
  <c r="V7" i="6"/>
  <c r="K7" i="6"/>
  <c r="I7" i="6"/>
  <c r="X205" i="2"/>
  <c r="Z205" i="2" s="1"/>
  <c r="V205" i="2"/>
  <c r="K205" i="2"/>
  <c r="I205" i="2"/>
  <c r="X204" i="2"/>
  <c r="Z204" i="2" s="1"/>
  <c r="V204" i="2"/>
  <c r="K204" i="2"/>
  <c r="I204" i="2"/>
  <c r="X202" i="2"/>
  <c r="Z202" i="2" s="1"/>
  <c r="V202" i="2"/>
  <c r="K202" i="2"/>
  <c r="I202" i="2"/>
  <c r="X201" i="2"/>
  <c r="T201" i="2"/>
  <c r="V201" i="2" s="1"/>
  <c r="K201" i="2"/>
  <c r="I201" i="2"/>
  <c r="Z200" i="2"/>
  <c r="T200" i="2"/>
  <c r="V200" i="2" s="1"/>
  <c r="I200" i="2"/>
  <c r="Z199" i="2"/>
  <c r="V199" i="2"/>
  <c r="K199" i="2"/>
  <c r="I199" i="2"/>
  <c r="X197" i="2"/>
  <c r="Z197" i="2" s="1"/>
  <c r="T197" i="2"/>
  <c r="V197" i="2" s="1"/>
  <c r="K197" i="2"/>
  <c r="I197" i="2"/>
  <c r="X195" i="2"/>
  <c r="Z195" i="2" s="1"/>
  <c r="V195" i="2"/>
  <c r="K195" i="2"/>
  <c r="I195" i="2"/>
  <c r="X194" i="2"/>
  <c r="X191" i="2"/>
  <c r="Z191" i="2" s="1"/>
  <c r="V191" i="2"/>
  <c r="K191" i="2"/>
  <c r="I191" i="2"/>
  <c r="X190" i="2"/>
  <c r="Z190" i="2" s="1"/>
  <c r="V190" i="2"/>
  <c r="K190" i="2"/>
  <c r="I190" i="2"/>
  <c r="X189" i="2"/>
  <c r="V189" i="2"/>
  <c r="K189" i="2"/>
  <c r="I189" i="2"/>
  <c r="K188" i="2"/>
  <c r="I188" i="2"/>
  <c r="X186" i="2"/>
  <c r="Z186" i="2" s="1"/>
  <c r="K186" i="2"/>
  <c r="I186" i="2"/>
  <c r="X185" i="2"/>
  <c r="V185" i="2"/>
  <c r="K185" i="2"/>
  <c r="I185" i="2"/>
  <c r="X183" i="2"/>
  <c r="X182" i="2" s="1"/>
  <c r="K183" i="2"/>
  <c r="K182" i="2" s="1"/>
  <c r="G85" i="8" s="1"/>
  <c r="I183" i="2"/>
  <c r="I182" i="2" s="1"/>
  <c r="D85" i="8" s="1"/>
  <c r="X181" i="2"/>
  <c r="Z181" i="2" s="1"/>
  <c r="T181" i="2"/>
  <c r="V181" i="2" s="1"/>
  <c r="K181" i="2"/>
  <c r="I181" i="2"/>
  <c r="X180" i="2"/>
  <c r="Z180" i="2" s="1"/>
  <c r="V180" i="2"/>
  <c r="K180" i="2"/>
  <c r="I180" i="2"/>
  <c r="X178" i="2"/>
  <c r="Z178" i="2" s="1"/>
  <c r="V178" i="2"/>
  <c r="K178" i="2"/>
  <c r="I178" i="2"/>
  <c r="X177" i="2"/>
  <c r="Z177" i="2" s="1"/>
  <c r="V177" i="2"/>
  <c r="K177" i="2"/>
  <c r="I177" i="2"/>
  <c r="X175" i="2"/>
  <c r="Z175" i="2" s="1"/>
  <c r="V175" i="2"/>
  <c r="K175" i="2"/>
  <c r="I175" i="2"/>
  <c r="X174" i="2"/>
  <c r="V174" i="2"/>
  <c r="K174" i="2"/>
  <c r="I174" i="2"/>
  <c r="X172" i="2"/>
  <c r="X170" i="2" s="1"/>
  <c r="V172" i="2"/>
  <c r="K172" i="2"/>
  <c r="I172" i="2"/>
  <c r="K171" i="2"/>
  <c r="I171" i="2"/>
  <c r="X168" i="2"/>
  <c r="Z168" i="2" s="1"/>
  <c r="T168" i="2"/>
  <c r="V168" i="2" s="1"/>
  <c r="K168" i="2"/>
  <c r="I168" i="2"/>
  <c r="X167" i="2"/>
  <c r="Z167" i="2" s="1"/>
  <c r="T167" i="2"/>
  <c r="V167" i="2" s="1"/>
  <c r="K167" i="2"/>
  <c r="I167" i="2"/>
  <c r="X166" i="2"/>
  <c r="T166" i="2"/>
  <c r="K166" i="2"/>
  <c r="I166" i="2"/>
  <c r="X158" i="2"/>
  <c r="Z158" i="2" s="1"/>
  <c r="T158" i="2"/>
  <c r="V158" i="2" s="1"/>
  <c r="K158" i="2"/>
  <c r="I158" i="2"/>
  <c r="X157" i="2"/>
  <c r="Z157" i="2" s="1"/>
  <c r="T157" i="2"/>
  <c r="V157" i="2" s="1"/>
  <c r="K157" i="2"/>
  <c r="I157" i="2"/>
  <c r="X156" i="2"/>
  <c r="Z156" i="2" s="1"/>
  <c r="T156" i="2"/>
  <c r="V156" i="2" s="1"/>
  <c r="K156" i="2"/>
  <c r="I156" i="2"/>
  <c r="X155" i="2"/>
  <c r="V155" i="2"/>
  <c r="K155" i="2"/>
  <c r="I155" i="2"/>
  <c r="X151" i="2"/>
  <c r="Z151" i="2" s="1"/>
  <c r="T151" i="2"/>
  <c r="V151" i="2" s="1"/>
  <c r="K151" i="2"/>
  <c r="I151" i="2"/>
  <c r="X150" i="2"/>
  <c r="Z150" i="2" s="1"/>
  <c r="T150" i="2"/>
  <c r="V150" i="2" s="1"/>
  <c r="K150" i="2"/>
  <c r="I150" i="2"/>
  <c r="X149" i="2"/>
  <c r="Z149" i="2" s="1"/>
  <c r="V149" i="2"/>
  <c r="K149" i="2"/>
  <c r="I149" i="2"/>
  <c r="X147" i="2"/>
  <c r="Z147" i="2" s="1"/>
  <c r="V147" i="2"/>
  <c r="K147" i="2"/>
  <c r="I147" i="2"/>
  <c r="X146" i="2"/>
  <c r="Z146" i="2" s="1"/>
  <c r="V146" i="2"/>
  <c r="K146" i="2"/>
  <c r="I146" i="2"/>
  <c r="X144" i="2"/>
  <c r="Z144" i="2" s="1"/>
  <c r="T144" i="2"/>
  <c r="V144" i="2" s="1"/>
  <c r="K144" i="2"/>
  <c r="I144" i="2"/>
  <c r="X143" i="2"/>
  <c r="Z143" i="2" s="1"/>
  <c r="V143" i="2"/>
  <c r="K143" i="2"/>
  <c r="I143" i="2"/>
  <c r="X142" i="2"/>
  <c r="Z142" i="2" s="1"/>
  <c r="V142" i="2"/>
  <c r="K142" i="2"/>
  <c r="I142" i="2"/>
  <c r="X141" i="2"/>
  <c r="V141" i="2"/>
  <c r="K141" i="2"/>
  <c r="I141" i="2"/>
  <c r="X139" i="2"/>
  <c r="Z139" i="2" s="1"/>
  <c r="V139" i="2"/>
  <c r="K139" i="2"/>
  <c r="I139" i="2"/>
  <c r="X137" i="2"/>
  <c r="Z137" i="2" s="1"/>
  <c r="T137" i="2"/>
  <c r="V137" i="2" s="1"/>
  <c r="K137" i="2"/>
  <c r="I137" i="2"/>
  <c r="K136" i="2"/>
  <c r="I136" i="2"/>
  <c r="X134" i="2"/>
  <c r="Z134" i="2" s="1"/>
  <c r="V134" i="2"/>
  <c r="K134" i="2"/>
  <c r="I134" i="2"/>
  <c r="X133" i="2"/>
  <c r="Z133" i="2" s="1"/>
  <c r="T133" i="2"/>
  <c r="V133" i="2" s="1"/>
  <c r="K133" i="2"/>
  <c r="I133" i="2"/>
  <c r="X132" i="2"/>
  <c r="Z132" i="2" s="1"/>
  <c r="K132" i="2"/>
  <c r="I132" i="2"/>
  <c r="X129" i="2"/>
  <c r="Z129" i="2" s="1"/>
  <c r="T129" i="2"/>
  <c r="V129" i="2" s="1"/>
  <c r="K129" i="2"/>
  <c r="I129" i="2"/>
  <c r="X127" i="2"/>
  <c r="Z127" i="2" s="1"/>
  <c r="T127" i="2"/>
  <c r="K127" i="2"/>
  <c r="I127" i="2"/>
  <c r="X125" i="2"/>
  <c r="Z125" i="2" s="1"/>
  <c r="Z124" i="2" s="1"/>
  <c r="L71" i="8" s="1"/>
  <c r="T125" i="2"/>
  <c r="T124" i="2" s="1"/>
  <c r="K125" i="2"/>
  <c r="K124" i="2" s="1"/>
  <c r="G71" i="8" s="1"/>
  <c r="I125" i="2"/>
  <c r="I124" i="2" s="1"/>
  <c r="D71" i="8" s="1"/>
  <c r="X123" i="2"/>
  <c r="K123" i="2"/>
  <c r="K122" i="2" s="1"/>
  <c r="G70" i="8" s="1"/>
  <c r="I123" i="2"/>
  <c r="I122" i="2" s="1"/>
  <c r="D70" i="8" s="1"/>
  <c r="X121" i="2"/>
  <c r="X120" i="2" s="1"/>
  <c r="T121" i="2"/>
  <c r="T120" i="2" s="1"/>
  <c r="K121" i="2"/>
  <c r="K120" i="2" s="1"/>
  <c r="I121" i="2"/>
  <c r="I120" i="2" s="1"/>
  <c r="X108" i="2"/>
  <c r="Z108" i="2" s="1"/>
  <c r="T108" i="2"/>
  <c r="V108" i="2" s="1"/>
  <c r="K108" i="2"/>
  <c r="I108" i="2"/>
  <c r="X107" i="2"/>
  <c r="Y106" i="2" s="1"/>
  <c r="T107" i="2"/>
  <c r="K107" i="2"/>
  <c r="I107" i="2"/>
  <c r="X104" i="2"/>
  <c r="Z104" i="2" s="1"/>
  <c r="T104" i="2"/>
  <c r="V104" i="2" s="1"/>
  <c r="K104" i="2"/>
  <c r="I104" i="2"/>
  <c r="X103" i="2"/>
  <c r="Z103" i="2" s="1"/>
  <c r="T103" i="2"/>
  <c r="V103" i="2" s="1"/>
  <c r="K103" i="2"/>
  <c r="I103" i="2"/>
  <c r="X102" i="2"/>
  <c r="Z102" i="2" s="1"/>
  <c r="V102" i="2"/>
  <c r="K102" i="2"/>
  <c r="I102" i="2"/>
  <c r="M100" i="2"/>
  <c r="K100" i="2"/>
  <c r="K96" i="2"/>
  <c r="I96" i="2"/>
  <c r="K95" i="2"/>
  <c r="I95" i="2"/>
  <c r="Z93" i="2"/>
  <c r="X90" i="2"/>
  <c r="Z90" i="2" s="1"/>
  <c r="T90" i="2"/>
  <c r="V90" i="2" s="1"/>
  <c r="K90" i="2"/>
  <c r="I90" i="2"/>
  <c r="Z89" i="2"/>
  <c r="V89" i="2"/>
  <c r="K89" i="2"/>
  <c r="I89" i="2"/>
  <c r="Z88" i="2"/>
  <c r="V88" i="2"/>
  <c r="K88" i="2"/>
  <c r="I88" i="2"/>
  <c r="X87" i="2"/>
  <c r="Z87" i="2" s="1"/>
  <c r="T87" i="2"/>
  <c r="V87" i="2" s="1"/>
  <c r="K87" i="2"/>
  <c r="I87" i="2"/>
  <c r="X86" i="2"/>
  <c r="Z86" i="2" s="1"/>
  <c r="V86" i="2"/>
  <c r="K86" i="2"/>
  <c r="I86" i="2"/>
  <c r="X81" i="2"/>
  <c r="Z81" i="2" s="1"/>
  <c r="T81" i="2"/>
  <c r="V81" i="2" s="1"/>
  <c r="K81" i="2"/>
  <c r="I81" i="2"/>
  <c r="X79" i="2"/>
  <c r="Z79" i="2" s="1"/>
  <c r="T79" i="2"/>
  <c r="V79" i="2" s="1"/>
  <c r="K79" i="2"/>
  <c r="I79" i="2"/>
  <c r="X76" i="2"/>
  <c r="Z76" i="2" s="1"/>
  <c r="T76" i="2"/>
  <c r="V76" i="2" s="1"/>
  <c r="K76" i="2"/>
  <c r="I76" i="2"/>
  <c r="X75" i="2"/>
  <c r="Z75" i="2" s="1"/>
  <c r="T75" i="2"/>
  <c r="V75" i="2" s="1"/>
  <c r="K75" i="2"/>
  <c r="I75" i="2"/>
  <c r="X74" i="2"/>
  <c r="K74" i="2"/>
  <c r="I74" i="2"/>
  <c r="X72" i="2"/>
  <c r="Z72" i="2" s="1"/>
  <c r="V72" i="2"/>
  <c r="K72" i="2"/>
  <c r="I72" i="2"/>
  <c r="X71" i="2"/>
  <c r="Z71" i="2" s="1"/>
  <c r="V71" i="2"/>
  <c r="K71" i="2"/>
  <c r="I71" i="2"/>
  <c r="X70" i="2"/>
  <c r="Z70" i="2" s="1"/>
  <c r="T70" i="2"/>
  <c r="V70" i="2" s="1"/>
  <c r="K70" i="2"/>
  <c r="I70" i="2"/>
  <c r="X69" i="2"/>
  <c r="Z69" i="2" s="1"/>
  <c r="T69" i="2"/>
  <c r="V69" i="2" s="1"/>
  <c r="K69" i="2"/>
  <c r="I69" i="2"/>
  <c r="X66" i="2"/>
  <c r="Z66" i="2" s="1"/>
  <c r="T66" i="2"/>
  <c r="V66" i="2" s="1"/>
  <c r="K66" i="2"/>
  <c r="I66" i="2"/>
  <c r="K64" i="2"/>
  <c r="I64" i="2"/>
  <c r="K63" i="2"/>
  <c r="I63" i="2"/>
  <c r="X62" i="2"/>
  <c r="Z62" i="2" s="1"/>
  <c r="T62" i="2"/>
  <c r="V62" i="2" s="1"/>
  <c r="K62" i="2"/>
  <c r="I62" i="2"/>
  <c r="Z61" i="2"/>
  <c r="T61" i="2"/>
  <c r="V61" i="2" s="1"/>
  <c r="K61" i="2"/>
  <c r="I61" i="2"/>
  <c r="K59" i="2"/>
  <c r="I59" i="2"/>
  <c r="X58" i="2"/>
  <c r="Z58" i="2" s="1"/>
  <c r="T58" i="2"/>
  <c r="V58" i="2" s="1"/>
  <c r="K58" i="2"/>
  <c r="I58" i="2"/>
  <c r="X57" i="2"/>
  <c r="T57" i="2"/>
  <c r="K57" i="2"/>
  <c r="I57" i="2"/>
  <c r="T55" i="2"/>
  <c r="V55" i="2" s="1"/>
  <c r="V52" i="2" s="1"/>
  <c r="K55" i="2"/>
  <c r="I55" i="2"/>
  <c r="K54" i="2"/>
  <c r="I54" i="2"/>
  <c r="K53" i="2"/>
  <c r="I53" i="2"/>
  <c r="J56" i="8"/>
  <c r="F56" i="8" s="1"/>
  <c r="X47" i="2"/>
  <c r="Z47" i="2" s="1"/>
  <c r="T47" i="2"/>
  <c r="V47" i="2" s="1"/>
  <c r="K47" i="2"/>
  <c r="I47" i="2"/>
  <c r="X46" i="2"/>
  <c r="Z46" i="2" s="1"/>
  <c r="T46" i="2"/>
  <c r="V46" i="2" s="1"/>
  <c r="K46" i="2"/>
  <c r="I46" i="2"/>
  <c r="X45" i="2"/>
  <c r="Z45" i="2" s="1"/>
  <c r="T45" i="2"/>
  <c r="V45" i="2" s="1"/>
  <c r="K45" i="2"/>
  <c r="I45" i="2"/>
  <c r="X44" i="2"/>
  <c r="Z44" i="2" s="1"/>
  <c r="K44" i="2"/>
  <c r="I44" i="2"/>
  <c r="I42" i="2"/>
  <c r="X41" i="2"/>
  <c r="Z41" i="2" s="1"/>
  <c r="T41" i="2"/>
  <c r="V41" i="2" s="1"/>
  <c r="I41" i="2"/>
  <c r="X40" i="2"/>
  <c r="V40" i="2"/>
  <c r="I40" i="2"/>
  <c r="X36" i="2"/>
  <c r="Z36" i="2" s="1"/>
  <c r="T36" i="2"/>
  <c r="V36" i="2" s="1"/>
  <c r="K36" i="2"/>
  <c r="I36" i="2"/>
  <c r="X35" i="2"/>
  <c r="V35" i="2"/>
  <c r="K35" i="2"/>
  <c r="I35" i="2"/>
  <c r="K33" i="2"/>
  <c r="I33" i="2"/>
  <c r="K32" i="2"/>
  <c r="I32" i="2"/>
  <c r="V31" i="2"/>
  <c r="K31" i="2"/>
  <c r="I31" i="2"/>
  <c r="K30" i="2"/>
  <c r="X28" i="2"/>
  <c r="Z28" i="2" s="1"/>
  <c r="V28" i="2"/>
  <c r="K28" i="2"/>
  <c r="I28" i="2"/>
  <c r="X27" i="2"/>
  <c r="Z27" i="2" s="1"/>
  <c r="V27" i="2"/>
  <c r="K27" i="2"/>
  <c r="I27" i="2"/>
  <c r="X26" i="2"/>
  <c r="Z26" i="2" s="1"/>
  <c r="V26" i="2"/>
  <c r="K26" i="2"/>
  <c r="I26" i="2"/>
  <c r="X25" i="2"/>
  <c r="Z25" i="2" s="1"/>
  <c r="T25" i="2"/>
  <c r="V25" i="2" s="1"/>
  <c r="K25" i="2"/>
  <c r="I25" i="2"/>
  <c r="X24" i="2"/>
  <c r="Z24" i="2" s="1"/>
  <c r="V24" i="2"/>
  <c r="I24" i="2"/>
  <c r="X23" i="2"/>
  <c r="Z23" i="2" s="1"/>
  <c r="V23" i="2"/>
  <c r="K23" i="2"/>
  <c r="I23" i="2"/>
  <c r="Z22" i="2"/>
  <c r="V22" i="2"/>
  <c r="K22" i="2"/>
  <c r="I22" i="2"/>
  <c r="X20" i="2"/>
  <c r="Z20" i="2" s="1"/>
  <c r="V20" i="2"/>
  <c r="K20" i="2"/>
  <c r="I20" i="2"/>
  <c r="X19" i="2"/>
  <c r="Z19" i="2" s="1"/>
  <c r="V19" i="2"/>
  <c r="K19" i="2"/>
  <c r="I19" i="2"/>
  <c r="X18" i="2"/>
  <c r="Z18" i="2" s="1"/>
  <c r="T18" i="2"/>
  <c r="V18" i="2" s="1"/>
  <c r="K18" i="2"/>
  <c r="I18" i="2"/>
  <c r="X17" i="2"/>
  <c r="T17" i="2"/>
  <c r="X14" i="2"/>
  <c r="Z14" i="2" s="1"/>
  <c r="T14" i="2"/>
  <c r="K14" i="2"/>
  <c r="K12" i="2" s="1"/>
  <c r="I14" i="2"/>
  <c r="X13" i="2"/>
  <c r="V13" i="2"/>
  <c r="I13" i="2"/>
  <c r="X11" i="2"/>
  <c r="Z11" i="2" s="1"/>
  <c r="T11" i="2"/>
  <c r="V11" i="2" s="1"/>
  <c r="K11" i="2"/>
  <c r="I11" i="2"/>
  <c r="X10" i="2"/>
  <c r="Z10" i="2" s="1"/>
  <c r="V10" i="2"/>
  <c r="K10" i="2"/>
  <c r="I10" i="2"/>
  <c r="X9" i="2"/>
  <c r="Z9" i="2" s="1"/>
  <c r="T9" i="2"/>
  <c r="V9" i="2" s="1"/>
  <c r="K9" i="2"/>
  <c r="I9" i="2"/>
  <c r="X8" i="2"/>
  <c r="Z8" i="2" s="1"/>
  <c r="T8" i="2"/>
  <c r="K8" i="2"/>
  <c r="I8" i="2"/>
  <c r="X211" i="1"/>
  <c r="Z211" i="1" s="1"/>
  <c r="V211" i="1"/>
  <c r="V209" i="1" s="1"/>
  <c r="K211" i="1"/>
  <c r="I211" i="1"/>
  <c r="X210" i="1"/>
  <c r="K210" i="1"/>
  <c r="I210" i="1"/>
  <c r="X208" i="1"/>
  <c r="Z208" i="1" s="1"/>
  <c r="T208" i="1"/>
  <c r="K208" i="1"/>
  <c r="I208" i="1"/>
  <c r="X207" i="1"/>
  <c r="T207" i="1"/>
  <c r="V207" i="1" s="1"/>
  <c r="K207" i="1"/>
  <c r="I207" i="1"/>
  <c r="X205" i="1"/>
  <c r="Z205" i="1" s="1"/>
  <c r="T205" i="1"/>
  <c r="V205" i="1" s="1"/>
  <c r="K205" i="1"/>
  <c r="I205" i="1"/>
  <c r="X204" i="1"/>
  <c r="T204" i="1"/>
  <c r="V204" i="1" s="1"/>
  <c r="K204" i="1"/>
  <c r="I204" i="1"/>
  <c r="X201" i="1"/>
  <c r="Z201" i="1" s="1"/>
  <c r="T201" i="1"/>
  <c r="V201" i="1" s="1"/>
  <c r="K201" i="1"/>
  <c r="I201" i="1"/>
  <c r="X200" i="1"/>
  <c r="Z200" i="1" s="1"/>
  <c r="K200" i="1"/>
  <c r="I200" i="1"/>
  <c r="X198" i="1"/>
  <c r="Z198" i="1" s="1"/>
  <c r="K198" i="1"/>
  <c r="I198" i="1"/>
  <c r="X197" i="1"/>
  <c r="Z197" i="1" s="1"/>
  <c r="T197" i="1"/>
  <c r="V197" i="1" s="1"/>
  <c r="K197" i="1"/>
  <c r="I197" i="1"/>
  <c r="X196" i="1"/>
  <c r="Z196" i="1" s="1"/>
  <c r="T196" i="1"/>
  <c r="V196" i="1" s="1"/>
  <c r="K196" i="1"/>
  <c r="I196" i="1"/>
  <c r="T193" i="1"/>
  <c r="K193" i="1"/>
  <c r="I193" i="1"/>
  <c r="X191" i="1"/>
  <c r="Z191" i="1" s="1"/>
  <c r="V191" i="1"/>
  <c r="K191" i="1"/>
  <c r="I191" i="1"/>
  <c r="X190" i="1"/>
  <c r="Z190" i="1" s="1"/>
  <c r="V190" i="1"/>
  <c r="K190" i="1"/>
  <c r="I190" i="1"/>
  <c r="X189" i="1"/>
  <c r="Z189" i="1" s="1"/>
  <c r="V189" i="1"/>
  <c r="K189" i="1"/>
  <c r="I189" i="1"/>
  <c r="X187" i="1"/>
  <c r="Z187" i="1" s="1"/>
  <c r="K187" i="1"/>
  <c r="I187" i="1"/>
  <c r="X185" i="1"/>
  <c r="X184" i="1" s="1"/>
  <c r="T185" i="1"/>
  <c r="T184" i="1" s="1"/>
  <c r="K185" i="1"/>
  <c r="K184" i="1" s="1"/>
  <c r="G38" i="8" s="1"/>
  <c r="I185" i="1"/>
  <c r="I184" i="1" s="1"/>
  <c r="D38" i="8" s="1"/>
  <c r="X183" i="1"/>
  <c r="Z183" i="1" s="1"/>
  <c r="T183" i="1"/>
  <c r="V183" i="1" s="1"/>
  <c r="K183" i="1"/>
  <c r="X182" i="1"/>
  <c r="Z182" i="1" s="1"/>
  <c r="T182" i="1"/>
  <c r="V182" i="1" s="1"/>
  <c r="K182" i="1"/>
  <c r="I182" i="1"/>
  <c r="X181" i="1"/>
  <c r="Z181" i="1" s="1"/>
  <c r="T181" i="1"/>
  <c r="V181" i="1" s="1"/>
  <c r="K181" i="1"/>
  <c r="I181" i="1"/>
  <c r="X180" i="1"/>
  <c r="T180" i="1"/>
  <c r="V180" i="1" s="1"/>
  <c r="I180" i="1"/>
  <c r="X177" i="1"/>
  <c r="V177" i="1"/>
  <c r="K177" i="1"/>
  <c r="I177" i="1"/>
  <c r="X176" i="1"/>
  <c r="Z176" i="1" s="1"/>
  <c r="K176" i="1"/>
  <c r="K172" i="1"/>
  <c r="Z173" i="1"/>
  <c r="X165" i="1"/>
  <c r="Z165" i="1" s="1"/>
  <c r="T165" i="1"/>
  <c r="V165" i="1" s="1"/>
  <c r="K165" i="1"/>
  <c r="I165" i="1"/>
  <c r="X164" i="1"/>
  <c r="Z164" i="1" s="1"/>
  <c r="T164" i="1"/>
  <c r="V164" i="1" s="1"/>
  <c r="K164" i="1"/>
  <c r="I164" i="1"/>
  <c r="X163" i="1"/>
  <c r="Z163" i="1" s="1"/>
  <c r="T163" i="1"/>
  <c r="V163" i="1" s="1"/>
  <c r="K163" i="1"/>
  <c r="I163" i="1"/>
  <c r="X162" i="1"/>
  <c r="Z162" i="1" s="1"/>
  <c r="V162" i="1"/>
  <c r="K162" i="1"/>
  <c r="I162" i="1"/>
  <c r="X161" i="1"/>
  <c r="Z161" i="1" s="1"/>
  <c r="K161" i="1"/>
  <c r="I161" i="1"/>
  <c r="X158" i="1"/>
  <c r="Z158" i="1" s="1"/>
  <c r="T158" i="1"/>
  <c r="V158" i="1" s="1"/>
  <c r="K158" i="1"/>
  <c r="I158" i="1"/>
  <c r="X155" i="1"/>
  <c r="Z155" i="1" s="1"/>
  <c r="V155" i="1"/>
  <c r="K155" i="1"/>
  <c r="I155" i="1"/>
  <c r="T151" i="1"/>
  <c r="V151" i="1" s="1"/>
  <c r="F151" i="1"/>
  <c r="X151" i="1" s="1"/>
  <c r="Y151" i="1" s="1"/>
  <c r="X150" i="1"/>
  <c r="Z150" i="1" s="1"/>
  <c r="V150" i="1"/>
  <c r="K150" i="1"/>
  <c r="I150" i="1"/>
  <c r="X149" i="1"/>
  <c r="T149" i="1"/>
  <c r="V149" i="1" s="1"/>
  <c r="K149" i="1"/>
  <c r="I149" i="1"/>
  <c r="X146" i="1"/>
  <c r="Z146" i="1" s="1"/>
  <c r="T146" i="1"/>
  <c r="V146" i="1" s="1"/>
  <c r="K146" i="1"/>
  <c r="I146" i="1"/>
  <c r="X145" i="1"/>
  <c r="Z145" i="1" s="1"/>
  <c r="T145" i="1"/>
  <c r="V145" i="1" s="1"/>
  <c r="K145" i="1"/>
  <c r="I145" i="1"/>
  <c r="X144" i="1"/>
  <c r="T144" i="1"/>
  <c r="K144" i="1"/>
  <c r="I144" i="1"/>
  <c r="X142" i="1"/>
  <c r="Z142" i="1" s="1"/>
  <c r="T142" i="1"/>
  <c r="V142" i="1" s="1"/>
  <c r="K142" i="1"/>
  <c r="I142" i="1"/>
  <c r="X141" i="1"/>
  <c r="Z141" i="1" s="1"/>
  <c r="V141" i="1"/>
  <c r="K141" i="1"/>
  <c r="I141" i="1"/>
  <c r="X139" i="1"/>
  <c r="Z139" i="1" s="1"/>
  <c r="T139" i="1"/>
  <c r="V139" i="1" s="1"/>
  <c r="K139" i="1"/>
  <c r="I139" i="1"/>
  <c r="X137" i="1"/>
  <c r="Z137" i="1" s="1"/>
  <c r="V137" i="1"/>
  <c r="K137" i="1"/>
  <c r="I137" i="1"/>
  <c r="X135" i="1"/>
  <c r="Z135" i="1" s="1"/>
  <c r="T135" i="1"/>
  <c r="V135" i="1" s="1"/>
  <c r="K135" i="1"/>
  <c r="I135" i="1"/>
  <c r="X134" i="1"/>
  <c r="T134" i="1"/>
  <c r="V134" i="1" s="1"/>
  <c r="K134" i="1"/>
  <c r="I134" i="1"/>
  <c r="X133" i="1"/>
  <c r="T133" i="1"/>
  <c r="V133" i="1" s="1"/>
  <c r="K133" i="1"/>
  <c r="I133" i="1"/>
  <c r="Z132" i="1"/>
  <c r="V132" i="1"/>
  <c r="K132" i="1"/>
  <c r="I132" i="1"/>
  <c r="X127" i="1"/>
  <c r="T127" i="1"/>
  <c r="K127" i="1"/>
  <c r="I127" i="1"/>
  <c r="K124" i="1"/>
  <c r="I124" i="1"/>
  <c r="T123" i="1"/>
  <c r="V123" i="1" s="1"/>
  <c r="X123" i="1"/>
  <c r="Z123" i="1" s="1"/>
  <c r="K123" i="1"/>
  <c r="I123" i="1"/>
  <c r="X122" i="1"/>
  <c r="Z122" i="1" s="1"/>
  <c r="T122" i="1"/>
  <c r="V122" i="1" s="1"/>
  <c r="K122" i="1"/>
  <c r="I122" i="1"/>
  <c r="X121" i="1"/>
  <c r="Z121" i="1" s="1"/>
  <c r="T121" i="1"/>
  <c r="V121" i="1" s="1"/>
  <c r="K121" i="1"/>
  <c r="I121" i="1"/>
  <c r="V120" i="1"/>
  <c r="K120" i="1"/>
  <c r="I120" i="1"/>
  <c r="K119" i="1"/>
  <c r="I119" i="1"/>
  <c r="X118" i="1"/>
  <c r="Z118" i="1" s="1"/>
  <c r="T118" i="1"/>
  <c r="V118" i="1" s="1"/>
  <c r="K118" i="1"/>
  <c r="I118" i="1"/>
  <c r="X117" i="1"/>
  <c r="Z117" i="1" s="1"/>
  <c r="T117" i="1"/>
  <c r="V117" i="1" s="1"/>
  <c r="K117" i="1"/>
  <c r="I117" i="1"/>
  <c r="T116" i="1"/>
  <c r="V116" i="1" s="1"/>
  <c r="K116" i="1"/>
  <c r="I116" i="1"/>
  <c r="K115" i="1"/>
  <c r="I115" i="1"/>
  <c r="V114" i="1"/>
  <c r="K114" i="1"/>
  <c r="I114" i="1"/>
  <c r="X113" i="1"/>
  <c r="Z113" i="1" s="1"/>
  <c r="T113" i="1"/>
  <c r="V113" i="1" s="1"/>
  <c r="K113" i="1"/>
  <c r="I113" i="1"/>
  <c r="T112" i="1"/>
  <c r="V112" i="1" s="1"/>
  <c r="F112" i="1"/>
  <c r="F111" i="1"/>
  <c r="V110" i="1"/>
  <c r="F110" i="1"/>
  <c r="F109" i="1"/>
  <c r="V108" i="1"/>
  <c r="F108" i="1"/>
  <c r="X107" i="1"/>
  <c r="Z107" i="1" s="1"/>
  <c r="T107" i="1"/>
  <c r="V107" i="1" s="1"/>
  <c r="K107" i="1"/>
  <c r="I107" i="1"/>
  <c r="X106" i="1"/>
  <c r="T106" i="1"/>
  <c r="I106" i="1"/>
  <c r="Z103" i="1"/>
  <c r="K103" i="1"/>
  <c r="K102" i="1" s="1"/>
  <c r="I103" i="1"/>
  <c r="I102" i="1" s="1"/>
  <c r="D23" i="8" s="1"/>
  <c r="X101" i="1"/>
  <c r="X99" i="1" s="1"/>
  <c r="K101" i="1"/>
  <c r="K100" i="1"/>
  <c r="I100" i="1"/>
  <c r="X97" i="1"/>
  <c r="Z97" i="1" s="1"/>
  <c r="T97" i="1"/>
  <c r="V97" i="1" s="1"/>
  <c r="K97" i="1"/>
  <c r="I97" i="1"/>
  <c r="X96" i="1"/>
  <c r="Z96" i="1" s="1"/>
  <c r="T96" i="1"/>
  <c r="V96" i="1" s="1"/>
  <c r="K96" i="1"/>
  <c r="I96" i="1"/>
  <c r="X95" i="1"/>
  <c r="T95" i="1"/>
  <c r="V95" i="1" s="1"/>
  <c r="I95" i="1"/>
  <c r="X94" i="1"/>
  <c r="Z94" i="1" s="1"/>
  <c r="V94" i="1"/>
  <c r="K94" i="1"/>
  <c r="I94" i="1"/>
  <c r="K93" i="1"/>
  <c r="I93" i="1"/>
  <c r="X89" i="1"/>
  <c r="Z89" i="1" s="1"/>
  <c r="T89" i="1"/>
  <c r="V89" i="1" s="1"/>
  <c r="K89" i="1"/>
  <c r="I89" i="1"/>
  <c r="X86" i="1"/>
  <c r="Z86" i="1" s="1"/>
  <c r="T86" i="1"/>
  <c r="V86" i="1" s="1"/>
  <c r="K86" i="1"/>
  <c r="I86" i="1"/>
  <c r="X84" i="1"/>
  <c r="Z84" i="1" s="1"/>
  <c r="T84" i="1"/>
  <c r="V84" i="1" s="1"/>
  <c r="K84" i="1"/>
  <c r="I84" i="1"/>
  <c r="X83" i="1"/>
  <c r="Z83" i="1" s="1"/>
  <c r="T83" i="1"/>
  <c r="V83" i="1" s="1"/>
  <c r="K83" i="1"/>
  <c r="I83" i="1"/>
  <c r="X82" i="1"/>
  <c r="T82" i="1"/>
  <c r="V82" i="1" s="1"/>
  <c r="K82" i="1"/>
  <c r="I82" i="1"/>
  <c r="K79" i="1"/>
  <c r="I79" i="1"/>
  <c r="X73" i="1"/>
  <c r="Z73" i="1" s="1"/>
  <c r="T73" i="1"/>
  <c r="V73" i="1" s="1"/>
  <c r="K73" i="1"/>
  <c r="I73" i="1"/>
  <c r="X71" i="1"/>
  <c r="Z71" i="1" s="1"/>
  <c r="T71" i="1"/>
  <c r="V71" i="1" s="1"/>
  <c r="K71" i="1"/>
  <c r="I71" i="1"/>
  <c r="X70" i="1"/>
  <c r="Z70" i="1" s="1"/>
  <c r="T70" i="1"/>
  <c r="V70" i="1" s="1"/>
  <c r="K70" i="1"/>
  <c r="I70" i="1"/>
  <c r="X69" i="1"/>
  <c r="Z69" i="1" s="1"/>
  <c r="T69" i="1"/>
  <c r="V69" i="1" s="1"/>
  <c r="K69" i="1"/>
  <c r="I69" i="1"/>
  <c r="K68" i="1"/>
  <c r="I68" i="1"/>
  <c r="K67" i="1"/>
  <c r="I67" i="1"/>
  <c r="K66" i="1"/>
  <c r="I66" i="1"/>
  <c r="X62" i="1"/>
  <c r="Z62" i="1" s="1"/>
  <c r="T62" i="1"/>
  <c r="V62" i="1" s="1"/>
  <c r="I62" i="1"/>
  <c r="X61" i="1"/>
  <c r="Z61" i="1" s="1"/>
  <c r="T61" i="1"/>
  <c r="V61" i="1" s="1"/>
  <c r="K61" i="1"/>
  <c r="I61" i="1"/>
  <c r="X60" i="1"/>
  <c r="Z60" i="1" s="1"/>
  <c r="T60" i="1"/>
  <c r="V60" i="1" s="1"/>
  <c r="K60" i="1"/>
  <c r="I60" i="1"/>
  <c r="X59" i="1"/>
  <c r="T59" i="1"/>
  <c r="V59" i="1" s="1"/>
  <c r="K59" i="1"/>
  <c r="I59" i="1"/>
  <c r="X56" i="1"/>
  <c r="Z56" i="1" s="1"/>
  <c r="T56" i="1"/>
  <c r="V56" i="1" s="1"/>
  <c r="K56" i="1"/>
  <c r="I56" i="1"/>
  <c r="X55" i="1"/>
  <c r="V55" i="1"/>
  <c r="K55" i="1"/>
  <c r="I55" i="1"/>
  <c r="X51" i="1"/>
  <c r="Y51" i="1" s="1"/>
  <c r="T51" i="1"/>
  <c r="V51" i="1" s="1"/>
  <c r="K51" i="1"/>
  <c r="I51" i="1"/>
  <c r="X47" i="1"/>
  <c r="Z47" i="1" s="1"/>
  <c r="T47" i="1"/>
  <c r="V47" i="1" s="1"/>
  <c r="K47" i="1"/>
  <c r="I47" i="1"/>
  <c r="X45" i="1"/>
  <c r="T45" i="1"/>
  <c r="V45" i="1" s="1"/>
  <c r="K45" i="1"/>
  <c r="I45" i="1"/>
  <c r="Z43" i="1"/>
  <c r="V43" i="1"/>
  <c r="K43" i="1"/>
  <c r="I43" i="1"/>
  <c r="X42" i="1"/>
  <c r="Z42" i="1" s="1"/>
  <c r="T42" i="1"/>
  <c r="V42" i="1" s="1"/>
  <c r="K42" i="1"/>
  <c r="I42" i="1"/>
  <c r="X41" i="1"/>
  <c r="Z41" i="1" s="1"/>
  <c r="V41" i="1"/>
  <c r="K41" i="1"/>
  <c r="I41" i="1"/>
  <c r="X40" i="1"/>
  <c r="T40" i="1"/>
  <c r="K40" i="1"/>
  <c r="I40" i="1"/>
  <c r="X38" i="1"/>
  <c r="Z38" i="1" s="1"/>
  <c r="T38" i="1"/>
  <c r="K38" i="1"/>
  <c r="I38" i="1"/>
  <c r="X37" i="1"/>
  <c r="V37" i="1"/>
  <c r="K37" i="1"/>
  <c r="I37" i="1"/>
  <c r="X35" i="1"/>
  <c r="Z35" i="1" s="1"/>
  <c r="T35" i="1"/>
  <c r="K35" i="1"/>
  <c r="I35" i="1"/>
  <c r="X34" i="1"/>
  <c r="Z34" i="1" s="1"/>
  <c r="V34" i="1"/>
  <c r="K34" i="1"/>
  <c r="X33" i="1"/>
  <c r="K33" i="1"/>
  <c r="I33" i="1"/>
  <c r="X30" i="1"/>
  <c r="Z30" i="1" s="1"/>
  <c r="T30" i="1"/>
  <c r="V30" i="1" s="1"/>
  <c r="K30" i="1"/>
  <c r="I30" i="1"/>
  <c r="X29" i="1"/>
  <c r="Z29" i="1" s="1"/>
  <c r="T29" i="1"/>
  <c r="V29" i="1" s="1"/>
  <c r="K29" i="1"/>
  <c r="I29" i="1"/>
  <c r="X28" i="1"/>
  <c r="V28" i="1"/>
  <c r="K28" i="1"/>
  <c r="I28" i="1"/>
  <c r="Z25" i="1"/>
  <c r="Z23" i="1" s="1"/>
  <c r="L9" i="8" s="1"/>
  <c r="K25" i="1"/>
  <c r="I25" i="1"/>
  <c r="T24" i="1"/>
  <c r="V24" i="1" s="1"/>
  <c r="K24" i="1"/>
  <c r="I24" i="1"/>
  <c r="X22" i="1"/>
  <c r="Z22" i="1" s="1"/>
  <c r="V22" i="1"/>
  <c r="K22" i="1"/>
  <c r="I22" i="1"/>
  <c r="X21" i="1"/>
  <c r="Z21" i="1" s="1"/>
  <c r="T21" i="1"/>
  <c r="V21" i="1" s="1"/>
  <c r="K21" i="1"/>
  <c r="I21" i="1"/>
  <c r="X20" i="1"/>
  <c r="Z20" i="1" s="1"/>
  <c r="T20" i="1"/>
  <c r="V20" i="1" s="1"/>
  <c r="K20" i="1"/>
  <c r="I20" i="1"/>
  <c r="X19" i="1"/>
  <c r="V19" i="1"/>
  <c r="K19" i="1"/>
  <c r="I19" i="1"/>
  <c r="Z18" i="1"/>
  <c r="T18" i="1"/>
  <c r="V18" i="1" s="1"/>
  <c r="K18" i="1"/>
  <c r="I18" i="1"/>
  <c r="I17" i="1"/>
  <c r="X15" i="1"/>
  <c r="T15" i="1"/>
  <c r="I15" i="1"/>
  <c r="Z14" i="1"/>
  <c r="T14" i="1"/>
  <c r="V14" i="1" s="1"/>
  <c r="V12" i="1" s="1"/>
  <c r="I14" i="1"/>
  <c r="X9" i="1"/>
  <c r="X5" i="1" s="1"/>
  <c r="K9" i="1"/>
  <c r="I9" i="1"/>
  <c r="Z8" i="1"/>
  <c r="K8" i="1"/>
  <c r="I8" i="1"/>
  <c r="Y148" i="1" l="1"/>
  <c r="K194" i="8"/>
  <c r="Y109" i="5"/>
  <c r="Y3" i="5" s="1"/>
  <c r="K161" i="8" s="1"/>
  <c r="Z134" i="1"/>
  <c r="Y134" i="1"/>
  <c r="Y95" i="1"/>
  <c r="Y133" i="1"/>
  <c r="Y17" i="2"/>
  <c r="Y15" i="2" s="1"/>
  <c r="X193" i="2"/>
  <c r="I209" i="1"/>
  <c r="D45" i="8" s="1"/>
  <c r="Z77" i="2"/>
  <c r="L62" i="8" s="1"/>
  <c r="Z51" i="1"/>
  <c r="X77" i="1"/>
  <c r="J18" i="8" s="1"/>
  <c r="F18" i="8" s="1"/>
  <c r="Z194" i="2"/>
  <c r="Z193" i="2" s="1"/>
  <c r="K67" i="8"/>
  <c r="K92" i="8"/>
  <c r="K116" i="8"/>
  <c r="K184" i="8"/>
  <c r="K166" i="8"/>
  <c r="Y92" i="2"/>
  <c r="X5" i="6"/>
  <c r="Y5" i="6" s="1"/>
  <c r="Y4" i="6" s="1"/>
  <c r="Z33" i="6"/>
  <c r="Z31" i="6" s="1"/>
  <c r="L204" i="8" s="1"/>
  <c r="AA3" i="5"/>
  <c r="M161" i="8" s="1"/>
  <c r="R8" i="7" s="1"/>
  <c r="M191" i="8"/>
  <c r="J161" i="8"/>
  <c r="F161" i="8" s="1"/>
  <c r="K178" i="8"/>
  <c r="X44" i="1"/>
  <c r="Y44" i="1" s="1"/>
  <c r="Z19" i="1"/>
  <c r="Z16" i="1" s="1"/>
  <c r="L8" i="8" s="1"/>
  <c r="X16" i="1"/>
  <c r="J8" i="8" s="1"/>
  <c r="F8" i="8" s="1"/>
  <c r="I5" i="6"/>
  <c r="M194" i="8"/>
  <c r="K203" i="2"/>
  <c r="G91" i="8" s="1"/>
  <c r="I14" i="6"/>
  <c r="K14" i="6"/>
  <c r="J191" i="8"/>
  <c r="F191" i="8" s="1"/>
  <c r="F194" i="8"/>
  <c r="X12" i="2"/>
  <c r="J49" i="8" s="1"/>
  <c r="F49" i="8" s="1"/>
  <c r="V173" i="2"/>
  <c r="V131" i="2"/>
  <c r="F110" i="8"/>
  <c r="F7" i="7"/>
  <c r="O7" i="7"/>
  <c r="K110" i="1"/>
  <c r="L110" i="1"/>
  <c r="J110" i="1"/>
  <c r="Y110" i="1"/>
  <c r="L112" i="1"/>
  <c r="J112" i="1"/>
  <c r="Y112" i="1"/>
  <c r="K191" i="8"/>
  <c r="O6" i="7"/>
  <c r="L151" i="1"/>
  <c r="L148" i="1" s="1"/>
  <c r="J151" i="1"/>
  <c r="J148" i="1" s="1"/>
  <c r="Z141" i="2"/>
  <c r="Z140" i="2" s="1"/>
  <c r="L75" i="8" s="1"/>
  <c r="X140" i="2"/>
  <c r="J75" i="8" s="1"/>
  <c r="F75" i="8" s="1"/>
  <c r="K198" i="2"/>
  <c r="G90" i="8" s="1"/>
  <c r="J111" i="1"/>
  <c r="L111" i="1"/>
  <c r="Y111" i="1"/>
  <c r="Z201" i="2"/>
  <c r="Z198" i="2" s="1"/>
  <c r="L90" i="8" s="1"/>
  <c r="X198" i="2"/>
  <c r="J90" i="8" s="1"/>
  <c r="F90" i="8" s="1"/>
  <c r="O8" i="7"/>
  <c r="J108" i="1"/>
  <c r="L108" i="1"/>
  <c r="Y108" i="1"/>
  <c r="X184" i="2"/>
  <c r="J86" i="8" s="1"/>
  <c r="F86" i="8" s="1"/>
  <c r="V187" i="2"/>
  <c r="Z189" i="2"/>
  <c r="Z187" i="2" s="1"/>
  <c r="L87" i="8" s="1"/>
  <c r="X187" i="2"/>
  <c r="J87" i="8" s="1"/>
  <c r="F87" i="8" s="1"/>
  <c r="L109" i="1"/>
  <c r="J109" i="1"/>
  <c r="Y109" i="1"/>
  <c r="I23" i="1"/>
  <c r="D9" i="8" s="1"/>
  <c r="AA100" i="2"/>
  <c r="AA92" i="2" s="1"/>
  <c r="AA91" i="2" s="1"/>
  <c r="M64" i="8" s="1"/>
  <c r="X52" i="1"/>
  <c r="I5" i="1"/>
  <c r="V44" i="1"/>
  <c r="V203" i="1"/>
  <c r="Z204" i="1"/>
  <c r="Z203" i="1" s="1"/>
  <c r="L43" i="8" s="1"/>
  <c r="X203" i="1"/>
  <c r="I92" i="1"/>
  <c r="D21" i="8" s="1"/>
  <c r="X32" i="1"/>
  <c r="Z127" i="1"/>
  <c r="Z125" i="1" s="1"/>
  <c r="X125" i="1"/>
  <c r="Y125" i="1" s="1"/>
  <c r="Z133" i="1"/>
  <c r="Z95" i="1"/>
  <c r="Z92" i="1" s="1"/>
  <c r="L21" i="8" s="1"/>
  <c r="Z155" i="2"/>
  <c r="Z154" i="2" s="1"/>
  <c r="L78" i="8" s="1"/>
  <c r="X154" i="2"/>
  <c r="J78" i="8" s="1"/>
  <c r="F78" i="8" s="1"/>
  <c r="J93" i="8"/>
  <c r="F93" i="8" s="1"/>
  <c r="K5" i="2"/>
  <c r="K34" i="2"/>
  <c r="G53" i="8" s="1"/>
  <c r="V107" i="2"/>
  <c r="V106" i="2" s="1"/>
  <c r="T106" i="2"/>
  <c r="V8" i="2"/>
  <c r="V5" i="2" s="1"/>
  <c r="T5" i="2"/>
  <c r="V14" i="2"/>
  <c r="V12" i="2" s="1"/>
  <c r="Z174" i="2"/>
  <c r="Z173" i="2" s="1"/>
  <c r="L83" i="8" s="1"/>
  <c r="X173" i="2"/>
  <c r="J83" i="8" s="1"/>
  <c r="F83" i="8" s="1"/>
  <c r="Z17" i="2"/>
  <c r="Z15" i="2" s="1"/>
  <c r="L50" i="8" s="1"/>
  <c r="X15" i="2"/>
  <c r="V17" i="2"/>
  <c r="V15" i="2" s="1"/>
  <c r="T15" i="2"/>
  <c r="T12" i="2" s="1"/>
  <c r="K39" i="1"/>
  <c r="K44" i="1"/>
  <c r="G15" i="8" s="1"/>
  <c r="I44" i="1"/>
  <c r="D15" i="8" s="1"/>
  <c r="K99" i="1"/>
  <c r="G22" i="8" s="1"/>
  <c r="I16" i="1"/>
  <c r="D8" i="8" s="1"/>
  <c r="X26" i="1"/>
  <c r="J10" i="8" s="1"/>
  <c r="F10" i="8" s="1"/>
  <c r="I57" i="1"/>
  <c r="D17" i="8" s="1"/>
  <c r="X36" i="1"/>
  <c r="J13" i="8" s="1"/>
  <c r="F13" i="8" s="1"/>
  <c r="Z45" i="1"/>
  <c r="I32" i="1"/>
  <c r="K32" i="1"/>
  <c r="G12" i="8" s="1"/>
  <c r="V57" i="1"/>
  <c r="K108" i="1"/>
  <c r="X108" i="1"/>
  <c r="Z108" i="1" s="1"/>
  <c r="X131" i="1"/>
  <c r="Z140" i="1"/>
  <c r="L28" i="8" s="1"/>
  <c r="Z106" i="1"/>
  <c r="V106" i="1"/>
  <c r="V35" i="1"/>
  <c r="T32" i="1"/>
  <c r="I111" i="1"/>
  <c r="X111" i="1"/>
  <c r="Z111" i="1" s="1"/>
  <c r="K109" i="1"/>
  <c r="X109" i="1"/>
  <c r="Z109" i="1" s="1"/>
  <c r="X110" i="1"/>
  <c r="Z110" i="1" s="1"/>
  <c r="Z59" i="1"/>
  <c r="Z57" i="1" s="1"/>
  <c r="L17" i="8" s="1"/>
  <c r="X57" i="1"/>
  <c r="J17" i="8" s="1"/>
  <c r="F17" i="8" s="1"/>
  <c r="I112" i="1"/>
  <c r="K112" i="1"/>
  <c r="Z35" i="2"/>
  <c r="Z34" i="2" s="1"/>
  <c r="L53" i="8" s="1"/>
  <c r="X34" i="2"/>
  <c r="J53" i="8" s="1"/>
  <c r="F53" i="8" s="1"/>
  <c r="I131" i="1"/>
  <c r="T60" i="4"/>
  <c r="T3" i="4" s="1"/>
  <c r="V92" i="1"/>
  <c r="J22" i="8"/>
  <c r="F22" i="8" s="1"/>
  <c r="Z101" i="1"/>
  <c r="Z102" i="1"/>
  <c r="L23" i="8" s="1"/>
  <c r="Z149" i="1"/>
  <c r="I148" i="2"/>
  <c r="D77" i="8" s="1"/>
  <c r="I21" i="2"/>
  <c r="D51" i="8" s="1"/>
  <c r="D92" i="8"/>
  <c r="Z107" i="2"/>
  <c r="Z106" i="2" s="1"/>
  <c r="L67" i="8" s="1"/>
  <c r="I100" i="2"/>
  <c r="I92" i="2" s="1"/>
  <c r="V186" i="2"/>
  <c r="V184" i="2" s="1"/>
  <c r="I198" i="2"/>
  <c r="I43" i="2"/>
  <c r="D55" i="8" s="1"/>
  <c r="V166" i="2"/>
  <c r="V165" i="2" s="1"/>
  <c r="T165" i="2"/>
  <c r="F8" i="7"/>
  <c r="I140" i="1"/>
  <c r="D28" i="8" s="1"/>
  <c r="K203" i="1"/>
  <c r="G43" i="8" s="1"/>
  <c r="Z55" i="1"/>
  <c r="Z52" i="1" s="1"/>
  <c r="L16" i="8" s="1"/>
  <c r="K184" i="2"/>
  <c r="G86" i="8" s="1"/>
  <c r="Z101" i="2"/>
  <c r="L66" i="8" s="1"/>
  <c r="D56" i="8"/>
  <c r="Z131" i="2"/>
  <c r="L74" i="8" s="1"/>
  <c r="I140" i="2"/>
  <c r="D75" i="8" s="1"/>
  <c r="Z166" i="2"/>
  <c r="X165" i="2"/>
  <c r="J81" i="8" s="1"/>
  <c r="F81" i="8" s="1"/>
  <c r="T52" i="2"/>
  <c r="J57" i="8"/>
  <c r="F57" i="8" s="1"/>
  <c r="J67" i="8"/>
  <c r="F67" i="8" s="1"/>
  <c r="Z172" i="2"/>
  <c r="J82" i="8"/>
  <c r="F82" i="8" s="1"/>
  <c r="I173" i="2"/>
  <c r="D83" i="8" s="1"/>
  <c r="T56" i="2"/>
  <c r="I170" i="2"/>
  <c r="D82" i="8" s="1"/>
  <c r="K173" i="2"/>
  <c r="G83" i="8" s="1"/>
  <c r="Z57" i="2"/>
  <c r="Z56" i="2" s="1"/>
  <c r="L58" i="8" s="1"/>
  <c r="X56" i="2"/>
  <c r="K170" i="2"/>
  <c r="G82" i="8" s="1"/>
  <c r="I73" i="2"/>
  <c r="D61" i="8" s="1"/>
  <c r="I154" i="2"/>
  <c r="D78" i="8" s="1"/>
  <c r="V154" i="2"/>
  <c r="Z148" i="2"/>
  <c r="L77" i="8" s="1"/>
  <c r="I145" i="2"/>
  <c r="D76" i="8" s="1"/>
  <c r="X145" i="2"/>
  <c r="J76" i="8" s="1"/>
  <c r="F76" i="8" s="1"/>
  <c r="Z145" i="2"/>
  <c r="L76" i="8" s="1"/>
  <c r="K145" i="2"/>
  <c r="G76" i="8" s="1"/>
  <c r="K5" i="6"/>
  <c r="X124" i="2"/>
  <c r="J71" i="8" s="1"/>
  <c r="F71" i="8" s="1"/>
  <c r="Z203" i="2"/>
  <c r="L91" i="8" s="1"/>
  <c r="I203" i="2"/>
  <c r="D91" i="8" s="1"/>
  <c r="T193" i="2"/>
  <c r="Z40" i="1"/>
  <c r="Z39" i="1" s="1"/>
  <c r="X39" i="1"/>
  <c r="Z82" i="1"/>
  <c r="Z77" i="1" s="1"/>
  <c r="L18" i="8" s="1"/>
  <c r="K143" i="1"/>
  <c r="G29" i="8" s="1"/>
  <c r="V161" i="1"/>
  <c r="V160" i="1" s="1"/>
  <c r="T160" i="1"/>
  <c r="X23" i="1"/>
  <c r="J9" i="8" s="1"/>
  <c r="F9" i="8" s="1"/>
  <c r="D7" i="8"/>
  <c r="K26" i="1"/>
  <c r="G10" i="8" s="1"/>
  <c r="Z144" i="1"/>
  <c r="Z143" i="1" s="1"/>
  <c r="L29" i="8" s="1"/>
  <c r="X143" i="1"/>
  <c r="J29" i="8" s="1"/>
  <c r="F29" i="8" s="1"/>
  <c r="V144" i="1"/>
  <c r="T143" i="1"/>
  <c r="I143" i="1"/>
  <c r="D29" i="8" s="1"/>
  <c r="I36" i="1"/>
  <c r="D13" i="8" s="1"/>
  <c r="V173" i="1"/>
  <c r="V172" i="1" s="1"/>
  <c r="T172" i="1"/>
  <c r="I206" i="1"/>
  <c r="D44" i="8" s="1"/>
  <c r="K206" i="1"/>
  <c r="G44" i="8" s="1"/>
  <c r="Z195" i="1"/>
  <c r="L41" i="8" s="1"/>
  <c r="K195" i="1"/>
  <c r="G41" i="8" s="1"/>
  <c r="I192" i="1"/>
  <c r="D40" i="8" s="1"/>
  <c r="K87" i="1"/>
  <c r="G19" i="8" s="1"/>
  <c r="L33" i="8"/>
  <c r="I77" i="1"/>
  <c r="D18" i="8" s="1"/>
  <c r="Z87" i="1"/>
  <c r="L19" i="8" s="1"/>
  <c r="I99" i="1"/>
  <c r="D22" i="8" s="1"/>
  <c r="D33" i="8"/>
  <c r="K36" i="1"/>
  <c r="G13" i="8" s="1"/>
  <c r="K140" i="1"/>
  <c r="G28" i="8" s="1"/>
  <c r="T186" i="1"/>
  <c r="I52" i="1"/>
  <c r="D16" i="8" s="1"/>
  <c r="T36" i="1"/>
  <c r="I110" i="1"/>
  <c r="Z186" i="1"/>
  <c r="L39" i="8" s="1"/>
  <c r="K16" i="1"/>
  <c r="G8" i="8" s="1"/>
  <c r="I26" i="1"/>
  <c r="D10" i="8" s="1"/>
  <c r="K125" i="1"/>
  <c r="G25" i="8" s="1"/>
  <c r="Z160" i="1"/>
  <c r="L32" i="8" s="1"/>
  <c r="I195" i="1"/>
  <c r="D41" i="8" s="1"/>
  <c r="Z33" i="1"/>
  <c r="Z32" i="1" s="1"/>
  <c r="L12" i="8" s="1"/>
  <c r="K186" i="1"/>
  <c r="G39" i="8" s="1"/>
  <c r="I109" i="1"/>
  <c r="K111" i="1"/>
  <c r="J35" i="8"/>
  <c r="F35" i="8" s="1"/>
  <c r="X175" i="1"/>
  <c r="J36" i="8" s="1"/>
  <c r="F36" i="8" s="1"/>
  <c r="Z177" i="1"/>
  <c r="Z175" i="1" s="1"/>
  <c r="L36" i="8" s="1"/>
  <c r="I203" i="1"/>
  <c r="D43" i="8" s="1"/>
  <c r="Z28" i="1"/>
  <c r="Z26" i="1" s="1"/>
  <c r="L10" i="8" s="1"/>
  <c r="X153" i="1"/>
  <c r="J31" i="8" s="1"/>
  <c r="F31" i="8" s="1"/>
  <c r="Z153" i="1"/>
  <c r="L31" i="8" s="1"/>
  <c r="I175" i="1"/>
  <c r="D36" i="8" s="1"/>
  <c r="T199" i="1"/>
  <c r="X206" i="1"/>
  <c r="J44" i="8" s="1"/>
  <c r="F44" i="8" s="1"/>
  <c r="Z207" i="1"/>
  <c r="Z206" i="1" s="1"/>
  <c r="L44" i="8" s="1"/>
  <c r="Z37" i="1"/>
  <c r="Z36" i="1" s="1"/>
  <c r="L13" i="8" s="1"/>
  <c r="I186" i="1"/>
  <c r="D39" i="8" s="1"/>
  <c r="K179" i="1"/>
  <c r="G37" i="8" s="1"/>
  <c r="I199" i="1"/>
  <c r="D42" i="8" s="1"/>
  <c r="I160" i="1"/>
  <c r="D32" i="8" s="1"/>
  <c r="X179" i="1"/>
  <c r="J37" i="8" s="1"/>
  <c r="F37" i="8" s="1"/>
  <c r="Z180" i="1"/>
  <c r="Z179" i="1" s="1"/>
  <c r="L37" i="8" s="1"/>
  <c r="X87" i="1"/>
  <c r="K175" i="1"/>
  <c r="G36" i="8" s="1"/>
  <c r="K192" i="1"/>
  <c r="G40" i="8" s="1"/>
  <c r="Z199" i="1"/>
  <c r="L42" i="8" s="1"/>
  <c r="V27" i="1"/>
  <c r="V26" i="1" s="1"/>
  <c r="T26" i="1"/>
  <c r="X192" i="1"/>
  <c r="J40" i="8" s="1"/>
  <c r="F40" i="8" s="1"/>
  <c r="Z193" i="1"/>
  <c r="Z192" i="1" s="1"/>
  <c r="L40" i="8" s="1"/>
  <c r="K5" i="1"/>
  <c r="T125" i="1"/>
  <c r="V127" i="1"/>
  <c r="V125" i="1" s="1"/>
  <c r="J38" i="8"/>
  <c r="F38" i="8" s="1"/>
  <c r="Z185" i="1"/>
  <c r="Z184" i="1" s="1"/>
  <c r="L38" i="8" s="1"/>
  <c r="T192" i="1"/>
  <c r="K57" i="1"/>
  <c r="G17" i="8" s="1"/>
  <c r="T52" i="1"/>
  <c r="J7" i="8"/>
  <c r="Z15" i="1"/>
  <c r="Z12" i="1" s="1"/>
  <c r="L7" i="8" s="1"/>
  <c r="V183" i="2"/>
  <c r="V182" i="2" s="1"/>
  <c r="Z47" i="6"/>
  <c r="L206" i="8" s="1"/>
  <c r="Z40" i="6"/>
  <c r="L205" i="8" s="1"/>
  <c r="Z14" i="6"/>
  <c r="Z7" i="6"/>
  <c r="Z5" i="6" s="1"/>
  <c r="L202" i="8"/>
  <c r="K187" i="2"/>
  <c r="G87" i="8" s="1"/>
  <c r="I184" i="2"/>
  <c r="D86" i="8" s="1"/>
  <c r="Z185" i="2"/>
  <c r="Z184" i="2" s="1"/>
  <c r="L86" i="8" s="1"/>
  <c r="J85" i="8"/>
  <c r="F85" i="8" s="1"/>
  <c r="Z183" i="2"/>
  <c r="Z182" i="2" s="1"/>
  <c r="L85" i="8" s="1"/>
  <c r="T182" i="2"/>
  <c r="Z176" i="2"/>
  <c r="I176" i="2"/>
  <c r="D84" i="8" s="1"/>
  <c r="K176" i="2"/>
  <c r="G84" i="8" s="1"/>
  <c r="V176" i="2"/>
  <c r="T23" i="1"/>
  <c r="Z9" i="1"/>
  <c r="Z5" i="1" s="1"/>
  <c r="J6" i="8"/>
  <c r="F6" i="8" s="1"/>
  <c r="K77" i="2"/>
  <c r="G62" i="8" s="1"/>
  <c r="I77" i="2"/>
  <c r="D62" i="8" s="1"/>
  <c r="K209" i="1"/>
  <c r="G45" i="8" s="1"/>
  <c r="X209" i="1"/>
  <c r="J45" i="8" s="1"/>
  <c r="F45" i="8" s="1"/>
  <c r="Z210" i="1"/>
  <c r="Z209" i="1" s="1"/>
  <c r="D79" i="8"/>
  <c r="I153" i="1"/>
  <c r="D31" i="8" s="1"/>
  <c r="K153" i="1"/>
  <c r="G31" i="8" s="1"/>
  <c r="I85" i="2"/>
  <c r="D63" i="8" s="1"/>
  <c r="Z85" i="2"/>
  <c r="L63" i="8" s="1"/>
  <c r="I125" i="1"/>
  <c r="D25" i="8" s="1"/>
  <c r="Z126" i="2"/>
  <c r="L72" i="8" s="1"/>
  <c r="K126" i="2"/>
  <c r="G72" i="8" s="1"/>
  <c r="V125" i="2"/>
  <c r="V124" i="2" s="1"/>
  <c r="X122" i="2"/>
  <c r="J70" i="8" s="1"/>
  <c r="F70" i="8" s="1"/>
  <c r="Z123" i="2"/>
  <c r="Z122" i="2" s="1"/>
  <c r="L70" i="8" s="1"/>
  <c r="J69" i="8"/>
  <c r="F69" i="8" s="1"/>
  <c r="Z121" i="2"/>
  <c r="Z120" i="2" s="1"/>
  <c r="G69" i="8"/>
  <c r="D69" i="8"/>
  <c r="X73" i="2"/>
  <c r="J61" i="8" s="1"/>
  <c r="F61" i="8" s="1"/>
  <c r="Z74" i="2"/>
  <c r="Z73" i="2" s="1"/>
  <c r="L61" i="8" s="1"/>
  <c r="K73" i="2"/>
  <c r="G61" i="8" s="1"/>
  <c r="Z68" i="2"/>
  <c r="L60" i="8" s="1"/>
  <c r="V68" i="2"/>
  <c r="Z60" i="2"/>
  <c r="L59" i="8" s="1"/>
  <c r="I60" i="2"/>
  <c r="D59" i="8" s="1"/>
  <c r="K60" i="2"/>
  <c r="G59" i="8" s="1"/>
  <c r="K52" i="2"/>
  <c r="G57" i="8" s="1"/>
  <c r="Z52" i="2"/>
  <c r="L57" i="8" s="1"/>
  <c r="G56" i="8"/>
  <c r="Z43" i="2"/>
  <c r="L55" i="8" s="1"/>
  <c r="K43" i="2"/>
  <c r="G55" i="8" s="1"/>
  <c r="X39" i="2"/>
  <c r="J54" i="8" s="1"/>
  <c r="F54" i="8" s="1"/>
  <c r="Z40" i="2"/>
  <c r="Z39" i="2" s="1"/>
  <c r="L54" i="8" s="1"/>
  <c r="I34" i="2"/>
  <c r="D53" i="8" s="1"/>
  <c r="X29" i="2"/>
  <c r="J52" i="8" s="1"/>
  <c r="F52" i="8" s="1"/>
  <c r="Z31" i="2"/>
  <c r="Z29" i="2" s="1"/>
  <c r="I29" i="2"/>
  <c r="D52" i="8" s="1"/>
  <c r="K29" i="2"/>
  <c r="G52" i="8" s="1"/>
  <c r="K21" i="2"/>
  <c r="G51" i="8" s="1"/>
  <c r="Z21" i="2"/>
  <c r="L51" i="8" s="1"/>
  <c r="X21" i="2"/>
  <c r="J51" i="8" s="1"/>
  <c r="F51" i="8" s="1"/>
  <c r="Z13" i="2"/>
  <c r="Z12" i="2" s="1"/>
  <c r="L49" i="8" s="1"/>
  <c r="G49" i="8"/>
  <c r="Z7" i="2"/>
  <c r="Z5" i="2" s="1"/>
  <c r="X5" i="2"/>
  <c r="G23" i="8"/>
  <c r="V103" i="1"/>
  <c r="V102" i="1" s="1"/>
  <c r="T99" i="1"/>
  <c r="K92" i="1"/>
  <c r="G21" i="8" s="1"/>
  <c r="I5" i="2"/>
  <c r="I165" i="2"/>
  <c r="D81" i="8" s="1"/>
  <c r="V203" i="2"/>
  <c r="I56" i="2"/>
  <c r="D58" i="8" s="1"/>
  <c r="T68" i="2"/>
  <c r="K131" i="2"/>
  <c r="T148" i="2"/>
  <c r="K92" i="2"/>
  <c r="V121" i="2"/>
  <c r="V120" i="2" s="1"/>
  <c r="K85" i="2"/>
  <c r="G63" i="8" s="1"/>
  <c r="I187" i="2"/>
  <c r="D87" i="8" s="1"/>
  <c r="K56" i="2"/>
  <c r="G58" i="8" s="1"/>
  <c r="X68" i="2"/>
  <c r="J60" i="8" s="1"/>
  <c r="F60" i="8" s="1"/>
  <c r="I131" i="2"/>
  <c r="T176" i="2"/>
  <c r="I39" i="2"/>
  <c r="D54" i="8" s="1"/>
  <c r="X77" i="2"/>
  <c r="J62" i="8" s="1"/>
  <c r="F62" i="8" s="1"/>
  <c r="X85" i="2"/>
  <c r="J63" i="8" s="1"/>
  <c r="F63" i="8" s="1"/>
  <c r="V39" i="2"/>
  <c r="V57" i="2"/>
  <c r="V56" i="2" s="1"/>
  <c r="X101" i="2"/>
  <c r="I126" i="2"/>
  <c r="D72" i="8" s="1"/>
  <c r="K148" i="2"/>
  <c r="G77" i="8" s="1"/>
  <c r="K31" i="6"/>
  <c r="G204" i="8" s="1"/>
  <c r="K40" i="6"/>
  <c r="X40" i="6"/>
  <c r="J205" i="8" s="1"/>
  <c r="F205" i="8" s="1"/>
  <c r="T47" i="6"/>
  <c r="G202" i="8"/>
  <c r="K47" i="6"/>
  <c r="G206" i="8" s="1"/>
  <c r="X14" i="6"/>
  <c r="J201" i="8" s="1"/>
  <c r="F201" i="8" s="1"/>
  <c r="I40" i="6"/>
  <c r="G159" i="8"/>
  <c r="X186" i="1"/>
  <c r="J39" i="8" s="1"/>
  <c r="F39" i="8" s="1"/>
  <c r="X199" i="1"/>
  <c r="X92" i="1"/>
  <c r="V140" i="1"/>
  <c r="V179" i="1"/>
  <c r="X140" i="1"/>
  <c r="J28" i="8" s="1"/>
  <c r="F28" i="8" s="1"/>
  <c r="J33" i="8"/>
  <c r="F33" i="8" s="1"/>
  <c r="T195" i="1"/>
  <c r="T12" i="1"/>
  <c r="X195" i="1"/>
  <c r="J41" i="8" s="1"/>
  <c r="F41" i="8" s="1"/>
  <c r="T148" i="1"/>
  <c r="K23" i="1"/>
  <c r="G9" i="8" s="1"/>
  <c r="V148" i="1"/>
  <c r="V131" i="1"/>
  <c r="V101" i="2"/>
  <c r="X115" i="1"/>
  <c r="Z115" i="1" s="1"/>
  <c r="T115" i="1"/>
  <c r="V115" i="1" s="1"/>
  <c r="V153" i="1"/>
  <c r="K77" i="1"/>
  <c r="G18" i="8" s="1"/>
  <c r="T77" i="1"/>
  <c r="V77" i="1"/>
  <c r="V109" i="1"/>
  <c r="K131" i="1"/>
  <c r="K151" i="1"/>
  <c r="K148" i="1" s="1"/>
  <c r="G30" i="8" s="1"/>
  <c r="I151" i="1"/>
  <c r="I148" i="1" s="1"/>
  <c r="D30" i="8" s="1"/>
  <c r="V176" i="1"/>
  <c r="V175" i="1" s="1"/>
  <c r="V185" i="1"/>
  <c r="V184" i="1" s="1"/>
  <c r="V198" i="1"/>
  <c r="V195" i="1" s="1"/>
  <c r="V208" i="1"/>
  <c r="V206" i="1" s="1"/>
  <c r="T206" i="1"/>
  <c r="I106" i="2"/>
  <c r="D67" i="8" s="1"/>
  <c r="V148" i="2"/>
  <c r="T5" i="6"/>
  <c r="V5" i="6"/>
  <c r="X112" i="1"/>
  <c r="Z112" i="1" s="1"/>
  <c r="X119" i="1"/>
  <c r="Z119" i="1" s="1"/>
  <c r="V119" i="1"/>
  <c r="T153" i="1"/>
  <c r="X100" i="2"/>
  <c r="X92" i="2" s="1"/>
  <c r="T100" i="2"/>
  <c r="V100" i="2" s="1"/>
  <c r="V127" i="2"/>
  <c r="V126" i="2" s="1"/>
  <c r="T126" i="2"/>
  <c r="V38" i="1"/>
  <c r="V36" i="1" s="1"/>
  <c r="T44" i="1"/>
  <c r="I108" i="1"/>
  <c r="K160" i="1"/>
  <c r="G32" i="8" s="1"/>
  <c r="V193" i="1"/>
  <c r="V192" i="1" s="1"/>
  <c r="I12" i="2"/>
  <c r="D49" i="8" s="1"/>
  <c r="V44" i="2"/>
  <c r="V43" i="2" s="1"/>
  <c r="T43" i="2"/>
  <c r="V145" i="2"/>
  <c r="V198" i="2"/>
  <c r="G7" i="8"/>
  <c r="V87" i="1"/>
  <c r="T87" i="1"/>
  <c r="T140" i="1"/>
  <c r="I179" i="1"/>
  <c r="D37" i="8" s="1"/>
  <c r="V140" i="2"/>
  <c r="V31" i="6"/>
  <c r="T31" i="6"/>
  <c r="T57" i="1"/>
  <c r="X116" i="1"/>
  <c r="Z116" i="1" s="1"/>
  <c r="X124" i="1"/>
  <c r="Z124" i="1" s="1"/>
  <c r="I172" i="1"/>
  <c r="T179" i="1"/>
  <c r="I15" i="2"/>
  <c r="D50" i="8" s="1"/>
  <c r="V60" i="2"/>
  <c r="T73" i="2"/>
  <c r="V18" i="6"/>
  <c r="V14" i="6" s="1"/>
  <c r="T14" i="6"/>
  <c r="T40" i="6"/>
  <c r="V40" i="6"/>
  <c r="V52" i="1"/>
  <c r="V200" i="1"/>
  <c r="V199" i="1" s="1"/>
  <c r="T131" i="2"/>
  <c r="V25" i="1"/>
  <c r="V23" i="1" s="1"/>
  <c r="V40" i="1"/>
  <c r="V39" i="1" s="1"/>
  <c r="T39" i="1"/>
  <c r="V187" i="1"/>
  <c r="V186" i="1" s="1"/>
  <c r="V194" i="2"/>
  <c r="V193" i="2" s="1"/>
  <c r="T60" i="2"/>
  <c r="K106" i="2"/>
  <c r="G67" i="8" s="1"/>
  <c r="T16" i="1"/>
  <c r="V33" i="1"/>
  <c r="T92" i="1"/>
  <c r="T29" i="2"/>
  <c r="V29" i="2"/>
  <c r="T101" i="2"/>
  <c r="X126" i="2"/>
  <c r="K140" i="2"/>
  <c r="G75" i="8" s="1"/>
  <c r="V16" i="1"/>
  <c r="X114" i="1"/>
  <c r="Z114" i="1" s="1"/>
  <c r="T203" i="1"/>
  <c r="X43" i="2"/>
  <c r="K68" i="2"/>
  <c r="G60" i="8" s="1"/>
  <c r="T154" i="2"/>
  <c r="T203" i="2"/>
  <c r="K52" i="1"/>
  <c r="G16" i="8" s="1"/>
  <c r="T131" i="1"/>
  <c r="X160" i="1"/>
  <c r="J32" i="8" s="1"/>
  <c r="F32" i="8" s="1"/>
  <c r="K15" i="2"/>
  <c r="G50" i="8" s="1"/>
  <c r="V34" i="2"/>
  <c r="T39" i="2"/>
  <c r="X60" i="2"/>
  <c r="Y60" i="2" s="1"/>
  <c r="V73" i="2"/>
  <c r="X148" i="2"/>
  <c r="J77" i="8" s="1"/>
  <c r="F77" i="8" s="1"/>
  <c r="I101" i="2"/>
  <c r="D66" i="8" s="1"/>
  <c r="J79" i="8"/>
  <c r="F79" i="8" s="1"/>
  <c r="I52" i="2"/>
  <c r="D57" i="8" s="1"/>
  <c r="I68" i="2"/>
  <c r="D60" i="8" s="1"/>
  <c r="T77" i="2"/>
  <c r="V77" i="2"/>
  <c r="K101" i="2"/>
  <c r="G66" i="8" s="1"/>
  <c r="X131" i="2"/>
  <c r="K165" i="2"/>
  <c r="G81" i="8" s="1"/>
  <c r="V171" i="2"/>
  <c r="V170" i="2" s="1"/>
  <c r="T85" i="2"/>
  <c r="V122" i="2"/>
  <c r="T122" i="2"/>
  <c r="K194" i="2"/>
  <c r="K193" i="2" s="1"/>
  <c r="I39" i="1"/>
  <c r="I87" i="1"/>
  <c r="D19" i="8" s="1"/>
  <c r="K199" i="1"/>
  <c r="G42" i="8" s="1"/>
  <c r="V21" i="2"/>
  <c r="T34" i="2"/>
  <c r="V85" i="2"/>
  <c r="T140" i="2"/>
  <c r="K154" i="2"/>
  <c r="I194" i="2"/>
  <c r="I193" i="2" s="1"/>
  <c r="T198" i="2"/>
  <c r="X203" i="2"/>
  <c r="J91" i="8" s="1"/>
  <c r="F91" i="8" s="1"/>
  <c r="T21" i="2"/>
  <c r="G54" i="8"/>
  <c r="X176" i="2"/>
  <c r="J84" i="8" s="1"/>
  <c r="F84" i="8" s="1"/>
  <c r="J202" i="8"/>
  <c r="F202" i="8" s="1"/>
  <c r="I31" i="6"/>
  <c r="I47" i="6"/>
  <c r="D206" i="8" s="1"/>
  <c r="V47" i="6"/>
  <c r="D202" i="8"/>
  <c r="X31" i="6"/>
  <c r="Y31" i="6" s="1"/>
  <c r="X47" i="6"/>
  <c r="J206" i="8" s="1"/>
  <c r="F206" i="8" s="1"/>
  <c r="Z44" i="1" l="1"/>
  <c r="L15" i="8" s="1"/>
  <c r="Y87" i="1"/>
  <c r="K19" i="8" s="1"/>
  <c r="Z131" i="1"/>
  <c r="L27" i="8" s="1"/>
  <c r="K25" i="8"/>
  <c r="AA17" i="2"/>
  <c r="AA15" i="2" s="1"/>
  <c r="AA4" i="2" s="1"/>
  <c r="M47" i="8" s="1"/>
  <c r="Y4" i="2"/>
  <c r="Z4" i="6"/>
  <c r="K15" i="8"/>
  <c r="AA134" i="1"/>
  <c r="AA51" i="1"/>
  <c r="AA44" i="1" s="1"/>
  <c r="Y30" i="6"/>
  <c r="J42" i="8"/>
  <c r="F42" i="8" s="1"/>
  <c r="Y199" i="1"/>
  <c r="J16" i="8"/>
  <c r="F16" i="8" s="1"/>
  <c r="K16" i="8"/>
  <c r="J12" i="8"/>
  <c r="F12" i="8" s="1"/>
  <c r="X31" i="1"/>
  <c r="J59" i="8"/>
  <c r="F59" i="8" s="1"/>
  <c r="K59" i="8"/>
  <c r="J66" i="8"/>
  <c r="F66" i="8" s="1"/>
  <c r="Y101" i="2"/>
  <c r="K66" i="8" s="1"/>
  <c r="K89" i="8"/>
  <c r="Y192" i="2"/>
  <c r="J50" i="8"/>
  <c r="F50" i="8" s="1"/>
  <c r="K6" i="7"/>
  <c r="G6" i="7" s="1"/>
  <c r="N6" i="7" s="1"/>
  <c r="AA112" i="1"/>
  <c r="AA111" i="1"/>
  <c r="AA110" i="1"/>
  <c r="AA109" i="1"/>
  <c r="X130" i="2"/>
  <c r="Z4" i="1"/>
  <c r="I4" i="6"/>
  <c r="K8" i="7"/>
  <c r="G8" i="7" s="1"/>
  <c r="N8" i="7" s="1"/>
  <c r="J105" i="1"/>
  <c r="J91" i="1" s="1"/>
  <c r="T192" i="2"/>
  <c r="L105" i="1"/>
  <c r="H24" i="8" s="1"/>
  <c r="H20" i="8" s="1"/>
  <c r="Z170" i="2"/>
  <c r="L82" i="8" s="1"/>
  <c r="M50" i="8"/>
  <c r="K192" i="2"/>
  <c r="D204" i="8"/>
  <c r="I30" i="6"/>
  <c r="H30" i="8"/>
  <c r="H26" i="8" s="1"/>
  <c r="L130" i="1"/>
  <c r="V192" i="2"/>
  <c r="F192" i="2" s="1"/>
  <c r="X192" i="2"/>
  <c r="T30" i="6"/>
  <c r="AA108" i="1"/>
  <c r="Y105" i="1"/>
  <c r="K24" i="8" s="1"/>
  <c r="E30" i="8"/>
  <c r="E26" i="8" s="1"/>
  <c r="J130" i="1"/>
  <c r="M65" i="8"/>
  <c r="K65" i="8"/>
  <c r="D90" i="8"/>
  <c r="I192" i="2"/>
  <c r="I130" i="1"/>
  <c r="X148" i="1"/>
  <c r="X130" i="1" s="1"/>
  <c r="J21" i="8"/>
  <c r="F21" i="8" s="1"/>
  <c r="AA133" i="1"/>
  <c r="Y131" i="1"/>
  <c r="Y130" i="1" s="1"/>
  <c r="AA95" i="1"/>
  <c r="AA92" i="1" s="1"/>
  <c r="Y92" i="1"/>
  <c r="V32" i="1"/>
  <c r="V31" i="1" s="1"/>
  <c r="F31" i="1" s="1"/>
  <c r="K130" i="1"/>
  <c r="Z99" i="1"/>
  <c r="L22" i="8" s="1"/>
  <c r="G78" i="8"/>
  <c r="K130" i="2"/>
  <c r="G80" i="8"/>
  <c r="D12" i="8"/>
  <c r="I31" i="1"/>
  <c r="K119" i="2"/>
  <c r="X4" i="2"/>
  <c r="I4" i="2"/>
  <c r="X4" i="1"/>
  <c r="V4" i="1"/>
  <c r="F4" i="1" s="1"/>
  <c r="T105" i="1"/>
  <c r="X105" i="1"/>
  <c r="X91" i="1" s="1"/>
  <c r="T4" i="1"/>
  <c r="F6" i="7"/>
  <c r="D200" i="8"/>
  <c r="V4" i="6"/>
  <c r="F4" i="6" s="1"/>
  <c r="T4" i="6"/>
  <c r="L200" i="8"/>
  <c r="G200" i="8"/>
  <c r="K4" i="6"/>
  <c r="X4" i="6"/>
  <c r="G68" i="8"/>
  <c r="I130" i="2"/>
  <c r="I164" i="2"/>
  <c r="D74" i="8"/>
  <c r="G74" i="8"/>
  <c r="L73" i="8"/>
  <c r="J74" i="8"/>
  <c r="F74" i="8" s="1"/>
  <c r="G48" i="8"/>
  <c r="G47" i="8" s="1"/>
  <c r="K4" i="2"/>
  <c r="D27" i="8"/>
  <c r="T130" i="1"/>
  <c r="G27" i="8"/>
  <c r="J27" i="8"/>
  <c r="F27" i="8" s="1"/>
  <c r="K4" i="1"/>
  <c r="D6" i="8"/>
  <c r="I4" i="1"/>
  <c r="G6" i="8"/>
  <c r="G5" i="8" s="1"/>
  <c r="J19" i="8"/>
  <c r="F19" i="8" s="1"/>
  <c r="L89" i="8"/>
  <c r="L88" i="8" s="1"/>
  <c r="Z192" i="2"/>
  <c r="Z165" i="2"/>
  <c r="L81" i="8" s="1"/>
  <c r="L52" i="8"/>
  <c r="T145" i="2"/>
  <c r="Z130" i="2"/>
  <c r="J89" i="8"/>
  <c r="F89" i="8" s="1"/>
  <c r="D89" i="8"/>
  <c r="G89" i="8"/>
  <c r="G88" i="8" s="1"/>
  <c r="J14" i="8"/>
  <c r="F14" i="8" s="1"/>
  <c r="L6" i="8"/>
  <c r="V143" i="1"/>
  <c r="L14" i="8"/>
  <c r="Z172" i="1"/>
  <c r="L203" i="8"/>
  <c r="Z105" i="1"/>
  <c r="L24" i="8" s="1"/>
  <c r="V105" i="1"/>
  <c r="K105" i="1"/>
  <c r="G24" i="8" s="1"/>
  <c r="G20" i="8" s="1"/>
  <c r="Z151" i="1"/>
  <c r="Z148" i="1" s="1"/>
  <c r="I105" i="1"/>
  <c r="D24" i="8" s="1"/>
  <c r="X171" i="1"/>
  <c r="J43" i="8"/>
  <c r="F43" i="8" s="1"/>
  <c r="J15" i="8"/>
  <c r="F15" i="8" s="1"/>
  <c r="L84" i="8"/>
  <c r="K164" i="2"/>
  <c r="L201" i="8"/>
  <c r="Z30" i="6"/>
  <c r="D80" i="8"/>
  <c r="T170" i="2"/>
  <c r="D14" i="8"/>
  <c r="K31" i="1"/>
  <c r="G14" i="8"/>
  <c r="G11" i="8" s="1"/>
  <c r="J5" i="8"/>
  <c r="F5" i="8" s="1"/>
  <c r="L45" i="8"/>
  <c r="G79" i="8"/>
  <c r="X91" i="2"/>
  <c r="Z100" i="2"/>
  <c r="Z92" i="2" s="1"/>
  <c r="Z91" i="2" s="1"/>
  <c r="G65" i="8"/>
  <c r="G64" i="8" s="1"/>
  <c r="K91" i="2"/>
  <c r="D65" i="8"/>
  <c r="I91" i="2"/>
  <c r="I119" i="2"/>
  <c r="D68" i="8"/>
  <c r="L69" i="8"/>
  <c r="L68" i="8" s="1"/>
  <c r="Z119" i="2"/>
  <c r="D205" i="8"/>
  <c r="V30" i="6"/>
  <c r="F30" i="6" s="1"/>
  <c r="G205" i="8"/>
  <c r="K30" i="6"/>
  <c r="D201" i="8"/>
  <c r="G201" i="8"/>
  <c r="J48" i="8"/>
  <c r="F48" i="8" s="1"/>
  <c r="Z4" i="2"/>
  <c r="L48" i="8"/>
  <c r="D48" i="8"/>
  <c r="D35" i="8"/>
  <c r="I171" i="1"/>
  <c r="K171" i="1"/>
  <c r="G35" i="8"/>
  <c r="G33" i="8"/>
  <c r="J23" i="8"/>
  <c r="F23" i="8" s="1"/>
  <c r="J80" i="8"/>
  <c r="F80" i="8" s="1"/>
  <c r="J58" i="8"/>
  <c r="F58" i="8" s="1"/>
  <c r="T119" i="2"/>
  <c r="X119" i="2"/>
  <c r="J72" i="8"/>
  <c r="F72" i="8" s="1"/>
  <c r="T92" i="2"/>
  <c r="V119" i="2"/>
  <c r="F119" i="2" s="1"/>
  <c r="J55" i="8"/>
  <c r="F55" i="8" s="1"/>
  <c r="J200" i="8"/>
  <c r="J159" i="8"/>
  <c r="F159" i="8" s="1"/>
  <c r="X30" i="6"/>
  <c r="J204" i="8"/>
  <c r="F204" i="8" s="1"/>
  <c r="T31" i="1"/>
  <c r="V171" i="1"/>
  <c r="F171" i="1" s="1"/>
  <c r="T171" i="1"/>
  <c r="V164" i="2"/>
  <c r="F164" i="2" s="1"/>
  <c r="X164" i="2"/>
  <c r="T102" i="1"/>
  <c r="V92" i="2"/>
  <c r="V91" i="2" s="1"/>
  <c r="Z130" i="1" l="1"/>
  <c r="Z31" i="1"/>
  <c r="Z3" i="6"/>
  <c r="AA3" i="2"/>
  <c r="M46" i="8" s="1"/>
  <c r="R5" i="7" s="1"/>
  <c r="AA131" i="1"/>
  <c r="K200" i="8"/>
  <c r="K199" i="8" s="1"/>
  <c r="K204" i="8"/>
  <c r="K203" i="8" s="1"/>
  <c r="M15" i="8"/>
  <c r="AA31" i="1"/>
  <c r="M11" i="8" s="1"/>
  <c r="Y31" i="1"/>
  <c r="K11" i="8"/>
  <c r="K42" i="8"/>
  <c r="Y171" i="1"/>
  <c r="K50" i="8"/>
  <c r="K47" i="8" s="1"/>
  <c r="K88" i="8"/>
  <c r="Y91" i="2"/>
  <c r="Y3" i="2" s="1"/>
  <c r="Y3" i="6"/>
  <c r="K198" i="8" s="1"/>
  <c r="J3" i="1"/>
  <c r="E4" i="8" s="1"/>
  <c r="E3" i="8" s="1"/>
  <c r="L91" i="1"/>
  <c r="L3" i="1" s="1"/>
  <c r="H4" i="8" s="1"/>
  <c r="P4" i="7" s="1"/>
  <c r="AA105" i="1"/>
  <c r="AA91" i="1" s="1"/>
  <c r="I3" i="6"/>
  <c r="D198" i="8" s="1"/>
  <c r="E24" i="8"/>
  <c r="E20" i="8" s="1"/>
  <c r="J199" i="8"/>
  <c r="F199" i="8" s="1"/>
  <c r="F200" i="8"/>
  <c r="Y91" i="1"/>
  <c r="D20" i="8"/>
  <c r="D73" i="8"/>
  <c r="K64" i="8"/>
  <c r="D26" i="8"/>
  <c r="D5" i="8"/>
  <c r="D203" i="8"/>
  <c r="D64" i="8"/>
  <c r="G26" i="8"/>
  <c r="D88" i="8"/>
  <c r="J47" i="8"/>
  <c r="F47" i="8" s="1"/>
  <c r="V130" i="1"/>
  <c r="F130" i="1" s="1"/>
  <c r="K27" i="8"/>
  <c r="M27" i="8"/>
  <c r="K21" i="8"/>
  <c r="AA151" i="1"/>
  <c r="M21" i="8"/>
  <c r="D47" i="8"/>
  <c r="G203" i="8"/>
  <c r="D11" i="8"/>
  <c r="V4" i="2"/>
  <c r="F4" i="2" s="1"/>
  <c r="K3" i="2"/>
  <c r="G46" i="8" s="1"/>
  <c r="X3" i="2"/>
  <c r="J46" i="8" s="1"/>
  <c r="F46" i="8" s="1"/>
  <c r="T4" i="2"/>
  <c r="D199" i="8"/>
  <c r="L199" i="8"/>
  <c r="T3" i="6"/>
  <c r="T91" i="1"/>
  <c r="T3" i="1" s="1"/>
  <c r="D34" i="8"/>
  <c r="V91" i="1"/>
  <c r="F91" i="1" s="1"/>
  <c r="Z91" i="1"/>
  <c r="G34" i="8"/>
  <c r="J203" i="8"/>
  <c r="F203" i="8" s="1"/>
  <c r="G199" i="8"/>
  <c r="V130" i="2"/>
  <c r="F130" i="2" s="1"/>
  <c r="T130" i="2"/>
  <c r="T164" i="2"/>
  <c r="G73" i="8"/>
  <c r="J73" i="8"/>
  <c r="F73" i="8" s="1"/>
  <c r="J88" i="8"/>
  <c r="F88" i="8" s="1"/>
  <c r="J68" i="8"/>
  <c r="F68" i="8" s="1"/>
  <c r="J34" i="8"/>
  <c r="F34" i="8" s="1"/>
  <c r="L5" i="8"/>
  <c r="L11" i="8"/>
  <c r="L198" i="8"/>
  <c r="J11" i="8"/>
  <c r="F11" i="8" s="1"/>
  <c r="Z164" i="2"/>
  <c r="Z3" i="2" s="1"/>
  <c r="L46" i="8" s="1"/>
  <c r="L47" i="8"/>
  <c r="L80" i="8"/>
  <c r="J65" i="8"/>
  <c r="F65" i="8" s="1"/>
  <c r="L65" i="8"/>
  <c r="L35" i="8"/>
  <c r="Z171" i="1"/>
  <c r="K91" i="1"/>
  <c r="K3" i="1" s="1"/>
  <c r="G4" i="8" s="1"/>
  <c r="J30" i="8"/>
  <c r="F30" i="8" s="1"/>
  <c r="I91" i="1"/>
  <c r="I3" i="1" s="1"/>
  <c r="L30" i="8"/>
  <c r="I3" i="2"/>
  <c r="D46" i="8" s="1"/>
  <c r="T91" i="2"/>
  <c r="X3" i="6"/>
  <c r="J198" i="8" s="1"/>
  <c r="F198" i="8" s="1"/>
  <c r="K3" i="6"/>
  <c r="G198" i="8" s="1"/>
  <c r="V3" i="6"/>
  <c r="L25" i="8"/>
  <c r="X3" i="1"/>
  <c r="J25" i="8"/>
  <c r="F25" i="8" s="1"/>
  <c r="F91" i="2"/>
  <c r="J24" i="8"/>
  <c r="Y3" i="1" l="1"/>
  <c r="K4" i="8" s="1"/>
  <c r="K46" i="8"/>
  <c r="K34" i="8"/>
  <c r="K9" i="7"/>
  <c r="G9" i="7" s="1"/>
  <c r="N9" i="7" s="1"/>
  <c r="K30" i="8"/>
  <c r="Z3" i="1"/>
  <c r="L4" i="8" s="1"/>
  <c r="F24" i="8"/>
  <c r="M24" i="8"/>
  <c r="M20" i="8"/>
  <c r="AA148" i="1"/>
  <c r="AA130" i="1" s="1"/>
  <c r="M26" i="8" s="1"/>
  <c r="H3" i="8"/>
  <c r="P3" i="7" s="1"/>
  <c r="E4" i="7"/>
  <c r="F4" i="7" s="1"/>
  <c r="E3" i="7"/>
  <c r="K20" i="8"/>
  <c r="O5" i="7"/>
  <c r="G3" i="8"/>
  <c r="O3" i="7" s="1"/>
  <c r="V3" i="1"/>
  <c r="J26" i="8"/>
  <c r="F26" i="8" s="1"/>
  <c r="T3" i="2"/>
  <c r="V3" i="2"/>
  <c r="F9" i="7"/>
  <c r="O9" i="7"/>
  <c r="O4" i="7"/>
  <c r="J64" i="8"/>
  <c r="F64" i="8" s="1"/>
  <c r="L26" i="8"/>
  <c r="L64" i="8"/>
  <c r="L34" i="8"/>
  <c r="L20" i="8"/>
  <c r="D4" i="8"/>
  <c r="F5" i="7"/>
  <c r="J20" i="8"/>
  <c r="F20" i="8" s="1"/>
  <c r="K5" i="7" l="1"/>
  <c r="G5" i="7" s="1"/>
  <c r="N5" i="7" s="1"/>
  <c r="F3" i="7"/>
  <c r="K26" i="8"/>
  <c r="AA3" i="1"/>
  <c r="M4" i="8" s="1"/>
  <c r="M30" i="8"/>
  <c r="K3" i="8"/>
  <c r="K4" i="7"/>
  <c r="G4" i="7" s="1"/>
  <c r="N4" i="7" s="1"/>
  <c r="D3" i="8"/>
  <c r="L3" i="8"/>
  <c r="J4" i="8"/>
  <c r="F4" i="8" s="1"/>
  <c r="G116" i="8"/>
  <c r="M3" i="8" l="1"/>
  <c r="R3" i="7" s="1"/>
  <c r="R4" i="7"/>
  <c r="K3" i="7"/>
  <c r="J3" i="8"/>
  <c r="F3" i="8" s="1"/>
  <c r="G3" i="7" l="1"/>
  <c r="N3" i="7" s="1"/>
  <c r="J116" i="8"/>
  <c r="F116" i="8" s="1"/>
  <c r="J143" i="8" l="1"/>
  <c r="F143" i="8" s="1"/>
  <c r="G143" i="8"/>
  <c r="J184" i="8" l="1"/>
  <c r="F184" i="8" s="1"/>
  <c r="G178" i="8" l="1"/>
  <c r="G101" i="8"/>
  <c r="J178" i="8" l="1"/>
  <c r="F178" i="8" s="1"/>
  <c r="J136" i="8"/>
  <c r="F136" i="8" s="1"/>
  <c r="G136" i="8"/>
  <c r="G120" i="8" l="1"/>
  <c r="G124" i="8" l="1"/>
  <c r="J124" i="8" l="1"/>
  <c r="F124" i="8" s="1"/>
</calcChain>
</file>

<file path=xl/sharedStrings.xml><?xml version="1.0" encoding="utf-8"?>
<sst xmlns="http://schemas.openxmlformats.org/spreadsheetml/2006/main" count="3885" uniqueCount="1912">
  <si>
    <t>LINEA ESTRATEGICA/COMPONENTE IMPULSOR/ PROGRAMA/ PRODUCTO (INDICADOR)/ META PRODUCTO</t>
  </si>
  <si>
    <t>RESPONSABLE(S)</t>
  </si>
  <si>
    <t>VALORACIÓN PONDERACIÓN % (PROPUESTA)</t>
  </si>
  <si>
    <t>META PRODUCTO (PRODUCTO NUMERICO CUATRIENIO)</t>
  </si>
  <si>
    <t>PROGRAMADO NUMERICO META PRODUCTO 2024</t>
  </si>
  <si>
    <t>ESPERADO PORCENTUAL META PRODUCTO CUATRIENIO EN LA VIGENCIA 2024</t>
  </si>
  <si>
    <t>ESPERADO PORCENTUAL META PRODUCTO CUATRIENIO EN LA VIGENCIA 2024 (PONDERADOR)</t>
  </si>
  <si>
    <t>LOGRO  (%) META PRODUCTO RESPECTO AL PROGRAMADO 2024 CORTE DICIEMBRE</t>
  </si>
  <si>
    <t>LOGRO  (%) META PRODUCTO RESPECTO AL PROGRAMADO DICIEMBRE 2024 (PONDERADOR)</t>
  </si>
  <si>
    <t xml:space="preserve"> Seguridad Ciudadana y Orden Público 
</t>
  </si>
  <si>
    <t>Comandos Élites de la Policía Nacional para la seguridad y protección ciudadana equipados</t>
  </si>
  <si>
    <t>Equipar tres (3) Comandos Élites de la Policía Nacional para la seguridad y protección ciudadana</t>
  </si>
  <si>
    <t>SECRETARÍA DEL INTERIOR Y CONVIVENCIA CIUDADANA</t>
  </si>
  <si>
    <t xml:space="preserve">Equipos para la seguridad y la convivencia conformados
</t>
  </si>
  <si>
    <t xml:space="preserve">Conformar un (1) Equipo Interdisciplinario para articulación y coordinación de estrategias de seguridad y un (1) Equipo Operativo de Gestores de Convivencia
</t>
  </si>
  <si>
    <t>Organismos de Seguridad dotados y
con servicios en el marco del PISCC 2024-2027</t>
  </si>
  <si>
    <t>Dotar y proveer de servicios a cinco (5) organismos de seguridad en el marco del PISCC 2024-2027</t>
  </si>
  <si>
    <t>Centro de Procesamiento de Información Institucional y análisis situacional para el Seguimiento del Delito conformado</t>
  </si>
  <si>
    <t>Conformar un (1) Centro de Procesamiento de Información Institucional y análisis situacional para el Seguimiento del Delito</t>
  </si>
  <si>
    <t>Política Pública de Seguridad Humana Integral formulada</t>
  </si>
  <si>
    <t>Formular una (1) Política Pública de Seguridad Humana Integral</t>
  </si>
  <si>
    <t>Operativos anuales de protección, defensa, recuperación de bienes de uso público marino costero desarrollados</t>
  </si>
  <si>
    <t>Desarrollar diez (10) operativos anuales de protección, defensa, recuperación de bienes de uso público marino costero en el Distrito a través del ECOBLOQUE</t>
  </si>
  <si>
    <t>Estaciones de bomberos nuevas construidas</t>
  </si>
  <si>
    <t>Construir una (1) Estación de Bomberos regional nueva</t>
  </si>
  <si>
    <t>Estaciones de bomberos adecuadas</t>
  </si>
  <si>
    <t>Adecuar una (1) Estación de Bomberos</t>
  </si>
  <si>
    <t>Número de máquinas extintoras del Cuerpo de Bomberos para la atención de emergencias</t>
  </si>
  <si>
    <t>Incrementar a ocho (8) el número de máquinas extintoras del Cuerpo de Bomberos para la atención de emergencias</t>
  </si>
  <si>
    <t>Cámaras de seguridad mantenidas</t>
  </si>
  <si>
    <t>Mantener ochocientas setenta y nueve (879) cámaras</t>
  </si>
  <si>
    <t>DISTRISEGURIDAD</t>
  </si>
  <si>
    <t>Cámaras de seguridad instaladas</t>
  </si>
  <si>
    <t>Instalar ochocientas cuarenta y nueve (849) cámaras nuevas</t>
  </si>
  <si>
    <t>Sistemas de información para la seguidad implementados</t>
  </si>
  <si>
    <t>Equipos de seguridad adquiridos</t>
  </si>
  <si>
    <t xml:space="preserve">Adquirir ciento veinte  (120) equipos de comunicación para la seguridad (tipo radio, equipos celulares) 
</t>
  </si>
  <si>
    <t>Infraestructura para la promoción a la cultura de la legalidad y a la convivencia construida</t>
  </si>
  <si>
    <t xml:space="preserve">Construir cuatro (4) infraestructuras para la promoción de la cultura de la legalidad y la convivencia CAIs, subestaciones, estaciones, centro de inteligencia) 
</t>
  </si>
  <si>
    <t>Vehículos para la seguridad y convivencia entregados</t>
  </si>
  <si>
    <t>Entregar doscientos sesenta y ocho (268) vehículos para la seguridad (moto, camioneta, automóvil, camión, cuatrimotos, jet sky)</t>
  </si>
  <si>
    <t>Organismos de atención de emergencias en las playas equipados</t>
  </si>
  <si>
    <t>Equipar a cuatro (4) organismos de atención de emergencias en playas</t>
  </si>
  <si>
    <t>DISTRISEGURIDAD - SECRETARÍA DE TURISMO</t>
  </si>
  <si>
    <t>Infraestructura para seguridad y socorro en playas tipo Garitas</t>
  </si>
  <si>
    <t>Construir veinte (20) garitas nuevas para la seguridad en playas</t>
  </si>
  <si>
    <t>Numero de actores viales capacitados  en educación y cultura para la seguridad vial</t>
  </si>
  <si>
    <t>Formar a cien mil (100.000) actores viales en educación y cultura para la seguridad vial</t>
  </si>
  <si>
    <t>DATT</t>
  </si>
  <si>
    <t>Número de mujeres formadas y vinculadas como gestoras de educación, cultura y seguridad vial</t>
  </si>
  <si>
    <t>Formar y vincular a cuatrocientas (400) mujeres como gestoras de educación, cultura y seguridad vial</t>
  </si>
  <si>
    <t>Plan Local de Seguridad Vial actualizado e implementado</t>
  </si>
  <si>
    <t>Actualizar e implementar en su totalidad un (1) Plan Local de Seguridad Vial</t>
  </si>
  <si>
    <t>Número de instituciones educativas vinculadas al programa de Rutas Educativas Seguras</t>
  </si>
  <si>
    <t>Vincular a ciento ochenta (180) Instituciones Educativas al programa Rutas Educativas Seguras</t>
  </si>
  <si>
    <t xml:space="preserve">Construccion de paz, Derechos Humanos y Convivencia
</t>
  </si>
  <si>
    <t>Número de mujeres víctimas de VBG o en riesgo de padecerla atendidas en servicios de orientación psicosocial y jurídica</t>
  </si>
  <si>
    <t>Atender a cinco mil (5.000) mujeres víctimas de violencia basada en género o en riesgo de padecerla con servicios de orientación psicosocial y jurídica</t>
  </si>
  <si>
    <t>SECRETARÍA DE PARTICIPACIÓN Y DESARROLLO SOCIAL</t>
  </si>
  <si>
    <t>Número de mujeres víctimas de violencia, sus hijos e hijas y familia dependiente protegidas en la casa refugio</t>
  </si>
  <si>
    <t>Proteger doscientas (200) mujeres víctimas de violencia, sus hijos e hijas y familia dependiente en la casa refugio</t>
  </si>
  <si>
    <t>Número de campañas sobre nuevas masculinidades como estrategia de prevención y erradicación contra estereotipos nocivos de género ejecutadas</t>
  </si>
  <si>
    <t>Ejecutar cuatro (4) campañas sobre nuevas masculinidades como estrategia de prevención y erradicación contra estereotipos nocivos de género</t>
  </si>
  <si>
    <t>Mujeres víctimas del conflicto armado como constructoras de paz desde la prevención de las violencias basadas en género</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</si>
  <si>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</si>
  <si>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</si>
  <si>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</si>
  <si>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Centro de traslado para la protección inmediata de las mujeres víctimas de cualquier forma de violencias creado y en funcionamiento en el Distrito</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</si>
  <si>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</si>
  <si>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</si>
  <si>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</si>
  <si>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</si>
  <si>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</si>
  <si>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Iniciativas para la promoción de la convivencia implementadas</t>
  </si>
  <si>
    <t>Implementar ocho (8) iniciativas para la promoción de la convivencia</t>
  </si>
  <si>
    <t>Número de Comisarías de Familia en operación en el Distrito</t>
  </si>
  <si>
    <t>Incrementar a ocho (8) el número de Comisarías de Familia operando en el Distrito</t>
  </si>
  <si>
    <t>Número de Comisarías de Familia móviles creadas y en operación en el Distrito</t>
  </si>
  <si>
    <t>Crear y poner en funcionamiento una (1) Comisaría de Familia móvil en el Distrito</t>
  </si>
  <si>
    <t>Número de mujeres vinculadas con la estrategia “Trasmallo de Mujeres Violetas por la Paz”</t>
  </si>
  <si>
    <t>Vincular a mil doscientos (1.200) mujeres con la estrategia “Trasmallo de Mujeres Violetas por la Paz”</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</si>
  <si>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</si>
  <si>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</si>
  <si>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</si>
  <si>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Incrementar a cinco (5) el número de Casas de Justicia en operación en el Distrito</t>
  </si>
  <si>
    <t>Centros de Conciliación en Equidad y/o Derecho creados en las Casas de Justicia</t>
  </si>
  <si>
    <t>Crear cinco (5) Centros de Conciliación en Equidad y/o Derecho en las Casas de Justicia del Distrito</t>
  </si>
  <si>
    <t>Inspecciones de Policía dotadas técnica y operativamente</t>
  </si>
  <si>
    <t>Dotar treinta y tres (33) Inspecciones de Policía técnica, tecnológica y operativamente.</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</si>
  <si>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</si>
  <si>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</si>
  <si>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</si>
  <si>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</si>
  <si>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</si>
  <si>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</si>
  <si>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</si>
  <si>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</si>
  <si>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Unidades productivas entregadas a personas víctimas del conflicto</t>
  </si>
  <si>
    <t>Entregar mil (1.000) unidades productivas a personas víctimas del conflicto</t>
  </si>
  <si>
    <t>Personas víctimas del conflicto que acceden a programas de atención psicosocial y salud mental</t>
  </si>
  <si>
    <t>Vincular a mil (1.000) personas víctimas del conflicto a programas de atención psicosocial y salud mental</t>
  </si>
  <si>
    <t>Personas víctimas con ayuda humanitaria inmediata</t>
  </si>
  <si>
    <t xml:space="preserve">Atender a la totalidad de personas víctimas que cumplan con los requisitos de ley para acceder a la medida de ayuda humanitaria inmediata 
</t>
  </si>
  <si>
    <t>Personas víctimas con ayuda inmediata mediante albergue</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</si>
  <si>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</si>
  <si>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</si>
  <si>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Mantener los incentivos técnicos y logísticos de participación a la totalidad de los representantes de la población víctima en la Mesa Distrital de Víctimas de Cartagena.</t>
  </si>
  <si>
    <t>Museo de Memoria Histórica 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</si>
  <si>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</si>
  <si>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</si>
  <si>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</si>
  <si>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</si>
  <si>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Concertar e implementar un (1) Plan de Retorno y reubicación de Villas de Aranjuez</t>
  </si>
  <si>
    <t>Plan Distrital de prevención y protección de violaciones graves a los derechos humanos y derecho internacional humanitario implementado</t>
  </si>
  <si>
    <t>Implementar un (1) Plan Distrital de prevención y protección de violaciones graves a los derechos humanos y derecho internacional humanitario</t>
  </si>
  <si>
    <t>Plan de acción territorial - PAT actualizado , aprobado e implementado</t>
  </si>
  <si>
    <t>Actualizar, aprobar e implementar un (1) Plan de Acción Territorial -PAT</t>
  </si>
  <si>
    <t>Plan de Contingencia formulado</t>
  </si>
  <si>
    <t>formular 1 plan de Contingencia para la atención inmediata de víctima en el distrito de cartagena</t>
  </si>
  <si>
    <t>Plan integral de reparación colectiva de la liga de mujeres desplazadas concertado e implementado</t>
  </si>
  <si>
    <t>Implementar un (1) Plan Integral de Reparación Colectiva de la Liga de Mujeres Desplazadas</t>
  </si>
  <si>
    <t>Consejo de Paz , Reconciliación , Convivencia y DDHH en el Distrito de Cartagena con plan de acción implementado</t>
  </si>
  <si>
    <t>Implementar el plan de acción de un (1) Consejo de Paz, Reconciliación, Convivencia y DDHH en el Distrito</t>
  </si>
  <si>
    <t>Iniciativas de memoria histórica apoyadas</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</si>
  <si>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</si>
  <si>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</si>
  <si>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 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</si>
  <si>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</si>
  <si>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</si>
  <si>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</si>
  <si>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Ejecutar dos (2) medidas de memoria histórica para población víctima</t>
  </si>
  <si>
    <t>Sede propia para la Mesa Distrital de Víctimas garantizada</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</si>
  <si>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</si>
  <si>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</si>
  <si>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</si>
  <si>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Estrategias de promoción de la garantía de derechos implementadas</t>
  </si>
  <si>
    <t>Implementar ocho (8) estrategias de promoción de la garantía de derechos</t>
  </si>
  <si>
    <t>Solicitudes de medidas de protección preventiva atendidas</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</si>
  <si>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</si>
  <si>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</si>
  <si>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</si>
  <si>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</si>
  <si>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</si>
  <si>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</si>
  <si>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 en coordinación con los comités territoriales de lucha contra la trata de personas</t>
  </si>
  <si>
    <t>Instancias institucionales creadas para la atención y garantía del derecho de libertad religiosa en el Distrito</t>
  </si>
  <si>
    <t>Mantener una (1) instancia institucional para atención y garantía del derecho de libertad religiosa en el Distrito</t>
  </si>
  <si>
    <t>Población víctima y sobreviviente de la trata de personas atendida</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</si>
  <si>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</si>
  <si>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</si>
  <si>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</si>
  <si>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</si>
  <si>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</si>
  <si>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Establecimiento de reclusión distrital para personas privadas de la libertad femeninas y masculinas operando en un inmueble del Distrito</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</si>
  <si>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</si>
  <si>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</si>
  <si>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</si>
  <si>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</si>
  <si>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Suscribir anualmente (1) convenio con el INPEC</t>
  </si>
  <si>
    <t xml:space="preserve"> Salud Pública y Aseguramiento
</t>
  </si>
  <si>
    <t>Número de usuarios con continuidad de la afiliación al régimen subsidiado en salud en el Distrito de Cartagena</t>
  </si>
  <si>
    <t>Mantener la continuidad anual de la afiliación a seiscientas setenta y nueve mil quinientas cincuenta y cinco (679.555) personas que están afiliados al régimen subsidiado en salud</t>
  </si>
  <si>
    <t>DEPARTAMENTO ADMINISTRATIVO DISTRITAL DE SALUD DADIS</t>
  </si>
  <si>
    <t>Número de personas nuevas afiliadas al sistema general de seguridad social en salud</t>
  </si>
  <si>
    <t>Afiliar a veinte mil (20.000) personas nuevas al Sistema General de Seguridad Social en Salud (con o sin SISBEN)</t>
  </si>
  <si>
    <t>Número de servicios de salud habilitados para atender Población No Asegurada</t>
  </si>
  <si>
    <t>Mantener habilitados ciento cuarenta y dos (142) servicios de salud anualmente para la red integrada de salud del Distrito</t>
  </si>
  <si>
    <t>Numero de equipos básicos de salud que operan en el Distrito monitoreados y evaluados</t>
  </si>
  <si>
    <t>Monitorear y evaluar a sesenta y dos (62) Equipos Básicos de Salud que operan en el Distrito</t>
  </si>
  <si>
    <t>Número de prestadores de servicios de salud con asistencia técnica de inspección, vigilancia y control para mejoramiento de la calidad de la atención en salud en IPS oncológicas, pediátricas y maternas</t>
  </si>
  <si>
    <t>Inspeccionar, vigilar y controlar a sesenta (60) prestadores de salud para mejoramiento de la calidad de la atención en salud en IPS oncológicas, pediátricas y maternas</t>
  </si>
  <si>
    <t>Centros de salud nuevos construidos para la protección y el aseguramiento en salud en el Distrito de Cartagena</t>
  </si>
  <si>
    <t>Construir dos (2) nuevos centros de salud en el distrito de Cartagena para la protección y el aseguramiento en salud</t>
  </si>
  <si>
    <t>SECRETARÍA DE INFRAESTRUCTURA - DEPARTAMENTO ADMINISTRATIVO DISTRITAL DE SALUD DADIS</t>
  </si>
  <si>
    <t>Número de personas con valoración clínica multidisciplinaria simultánea elaborada con resultado de condición de discapacidad</t>
  </si>
  <si>
    <t>Elaborar valoraciones clínicas multidisciplinaria del procedimiento de certificación de discapacidad y Registro de Localización y Certificación de Personas con Discapacidad a diez mil (10.000) personas del Distrito</t>
  </si>
  <si>
    <t xml:space="preserve">Número de personas pertenecientes a los grupos poblaciones vulnerables participantes en estrategias de promoción de la participación social en salud
</t>
  </si>
  <si>
    <t>Vincular a treinta mil (30.000) personas en estrategias de promoción de la participación social en salud con paridad de género (pertenecientes a los grupos poblaciones vulnerables</t>
  </si>
  <si>
    <t xml:space="preserve">Número de IPS asistidas con servicios del Plan de Emergencia Hospitalaria y desarrollo de capacidades en las competencias frente a las adaptaciones de posibles efectos de la variabilidad y el cambio climático 
</t>
  </si>
  <si>
    <t>Asistir anualmente a veintinueve (29) IPS con servicios del Plan de Emergencia Hospitalaria y desarrollo de capacidades en las competencias frente a las adaptaciones de posibles efectos de la variabilidad y el cambio climático</t>
  </si>
  <si>
    <t>Centro Regulador De Urgencias construido y dotado con tecnología de punta</t>
  </si>
  <si>
    <t>Construir y dotar un (1) Centro Regulador de Urgencias y Emergencias con tecnología de punta</t>
  </si>
  <si>
    <t>Número de procesos de gestión de la salud pública en el marco de la ruta integral para la promoción y mantenimiento de la salud implementados</t>
  </si>
  <si>
    <t>Implementar cuatro (4) procesos de gestión de la salud pública en el marco de la ruta integral para la promoción y mantenimiento de la salud</t>
  </si>
  <si>
    <t>Número de establecimientos farmacéuticos y similares  vigilados y controlados con enfoque de riesgo</t>
  </si>
  <si>
    <t>Vigilar y controlar anualmente con enfoque de riesgo a setecientos (700) establecimientos farmacéuticos y similares</t>
  </si>
  <si>
    <t>Número de tomas de muestras de agua elaboradas y visitas a objetos de interés de la calidad del agua para consumo humano y de diversión</t>
  </si>
  <si>
    <t>Realizar anualmente dos mil cien (2.100) tomas de muestras de agua y visitas a objetos de interés de Inspección, Vigilancia y Control Sanitario (IVCS) de la calidad del agua para consumo humano y de diversión</t>
  </si>
  <si>
    <t>Número de establecimientos de interés sanitario diferentes a establecimientos de medicamentos y alimentos, incluyendo motonaves y aeronaves vigilados y controlados</t>
  </si>
  <si>
    <t>Vigilar y controlar anualmente a siete mil seiscientos (7.600) establecimientos de interés sanitario diferentes a establecimientos de medicamentos y alimentos, incluyendo motonaves y aeronaves</t>
  </si>
  <si>
    <t xml:space="preserve">Número de animales vacunados contra la rabia
</t>
  </si>
  <si>
    <t>Vacunar anualmente noventa mil (90.000) animales contra la rabia</t>
  </si>
  <si>
    <t>Número de grupos de eventos de interés en salud pública con acciones de vigilancia en salud pública y vigilancia comunitaria elaboradas</t>
  </si>
  <si>
    <t>Elaborar anualmente acciones de vigilancia en salud pública y vigilancia comunitaria a diecisiete (17) grupos de eventos de interés en salud pública</t>
  </si>
  <si>
    <t>Número de entidades con acciones de salud pública en enfermedades cardiovasculares, huérfanas, diabetes mellitus, cáncer, salud visual, auditiva y salud bucal desarrolladas en diferentes entornos</t>
  </si>
  <si>
    <t>Desarrollar anualmente acciones de salud pública a doscientas cincuenta (250) entidades en enfermedades cardiovasculares, huérfanas, diabetes mellitus, cáncer, salud visual, auditiva y salud bucal en diferentes entornos</t>
  </si>
  <si>
    <t>Número de productos de la Política Distrital de Salud Mental y Política Nacional para la Prevención y Atención del Consumo de Sustancias Psicoactivas implementados</t>
  </si>
  <si>
    <t>Implementar los diecisiete (17) productos de la Política de Salud Mental y la Política Nacional para la Prevención y Atención del Consumo de Sustancias Psicoactivas</t>
  </si>
  <si>
    <t>Número de entidades de salud con acciones en Rutas Integrales de Atención en Salud relacionadas con las alteraciones nutricionales y promoción de las Guías Alimentarias Basadas en Alimentos</t>
  </si>
  <si>
    <t>Desarrollar anualmente acciones en cuarenta (40) entidades de salud de Rutas Integrales de Atención en Salud relacionadas con las alteraciones nutricionales y promoción de las Guías Alimentarias Basadas en Alimentos (GABAS)</t>
  </si>
  <si>
    <t>Número de establecimientos y transportadores de alimentos vigilados y controlados con enfoque de riesgo</t>
  </si>
  <si>
    <t>Vigilar y controlar anualmente con enfoque de riesgo a tres mil quinientos (3.500) establecimientos y transportadores de alimentos</t>
  </si>
  <si>
    <t>Número de acciones de salud pública desarrolladas para la promoción de la salud materna en entidades de salud y en el entorno comunitario</t>
  </si>
  <si>
    <t>Desarrollar anualmente noventa y cinco (95) acciones de salud pública para promoción de la salud materna en entidades de salud y entorno comunitario</t>
  </si>
  <si>
    <t>Número de acciones de salud pública desarrolladas para promoción de la salud sexual y reproductiva en entidades de salud, entorno comunitario y educativo.</t>
  </si>
  <si>
    <t>Desarrollar anualmente seiscientas setenta y cinco (675) acciones de salud pública para promoción de la salud sexual y reproductiva en entidades de salud, entorno comunitario y educativo, incluyendo el cumplimiento de sentencias como la C-055 de 2022 de la Corte Constitucional</t>
  </si>
  <si>
    <t>Número de niños y niñas menores de un año con seguimiento del esquema de vacunación de acuerdo a la edad desarrollado</t>
  </si>
  <si>
    <t>Desarrollar el seguimiento anual a la vacunación de catorce mil setecientos noventa y seis (14.796) niños y niñas menores de un año con todos los biológicos del esquema de acuerdo a la edad</t>
  </si>
  <si>
    <t>Número de componentes de la Estrategia de Gestión Integrada (EGI) de vectores desarrollada en los microterritorios priorizados</t>
  </si>
  <si>
    <t>Desarrollar anualmente los siete (7) componentes de la Estrategia de Gestión Integrada (EGI) de vectores en los microterritorios priorizados</t>
  </si>
  <si>
    <t>Número de salas de atención a enfermedades respiratorias agudas y Unidades de Atención Integral Comunitaria habilitadas</t>
  </si>
  <si>
    <t>Habilitar treinta (30) salas de atención a atención a enfermedades respiratorias agudas y habilitar dos (2) Unidades de Atención Integral Comunitaria en barrios y corregimientos priorizados para la prevención, manejo y control de la IRA y la EDA en los niños y niñas menores de 5 años</t>
  </si>
  <si>
    <t>Número de estrategias de salud infantil institucionales y comunitarias ejecutadas</t>
  </si>
  <si>
    <t>Ejecutar anualmente estrategias de salud infantil institucionales en setenta (70) instituciones prestadoras de salud priorizadas con servicios de atención materno – infantil y atención del recién nacido y ejecutar dos (2) estrategias comunitarias sobre AIEPI Comunitario y Cuidados del Recién Nacido en los diferentes entornos</t>
  </si>
  <si>
    <t xml:space="preserve">Número de entidades con acciones de salud pública elaboradas sobre prevención y control de la tuberculosis en los
diferentes entornos
</t>
  </si>
  <si>
    <t xml:space="preserve">Elaborar anualmente acciones de salud pública en setenta y cinco (75) entidades sobre prevención y control de la tuberculosis en los diferentes entornos
</t>
  </si>
  <si>
    <t>Número de entidades con acciones de salud pública elaboradas sobre prevención y control de la lepra y prevención de la discapacidad en los diferentes entornos</t>
  </si>
  <si>
    <t>Elaborar anualmente acciones de salud pública en setenta y cinco (75) entidades sobre prevención y control de la lepra y prevención de la discapacidad en los diferentes entornos</t>
  </si>
  <si>
    <t>Número de acciones de promoción de entornos de trabajo seguros y prevención de enfermedades y accidentes laborales elaboradas</t>
  </si>
  <si>
    <t>Elaborar setecientas veinte (720) acciones de promoción de entornos de trabajo seguros y prevención de enfermedades y accidentes laborales</t>
  </si>
  <si>
    <t>Estudios técnicos, financieros y ambientales elaborados para la construcción de un Nuevo Parque Cementerio Distrital, dentro de las áreas señaladas por el POT</t>
  </si>
  <si>
    <t>Elaborar un (1) estudio de un Nuevo Parque Cementerio Distrital</t>
  </si>
  <si>
    <t>SECRETARÍA GENERAL - APOYO LOGISTICO</t>
  </si>
  <si>
    <t>Acciones preventivas, correctivas, de modernización, restauración, construcción de bóvedas y/o nichos en los cementerios del distrito de Cartagena.</t>
  </si>
  <si>
    <t>Elaborar (4) acciones preventivas, correctivas, de modernización, restauración, construcción de bóvedas y/o nichos en los cementerios del distrito de Cartagena</t>
  </si>
  <si>
    <t>Sistemas tecnológicos de trámite de los servicios de cementerio implementados</t>
  </si>
  <si>
    <t>Implementar un (1) sistema tecnológico para trámites de servicios de cementerio</t>
  </si>
  <si>
    <t>Cementerio Santa Cruz de Manga con intervención para restauración arquitectónica</t>
  </si>
  <si>
    <t>Intervenir para mejoramiento y restauración arquitectónica un (1) Cementerio Santa Cruz de Manga</t>
  </si>
  <si>
    <t xml:space="preserve">Atención Integral a Grupos de Especial Protección
</t>
  </si>
  <si>
    <t>Personas mayores con atención en centros de vida</t>
  </si>
  <si>
    <t>Atender anualmente a cuatro mil ciento noventa y cuatro (4.194) personas mayores en los centros de vida</t>
  </si>
  <si>
    <t>Personas mayores que reciben atención en Grupos Organizados</t>
  </si>
  <si>
    <t>Atender anualmente cinco mil seiscientas ochenta y un (5.681) personas mayores en Grupos Organizados</t>
  </si>
  <si>
    <t>Personas mayores en estado de abandono y/o maltrato atendidas</t>
  </si>
  <si>
    <t>Atender ciento cincuenta (150) personas mayores permanentemente en estado de maltrato y/o abandono</t>
  </si>
  <si>
    <t>Centros de vida construidos y dotados</t>
  </si>
  <si>
    <t>Construir y dotar cuatro (4) centros de vida del Distrito</t>
  </si>
  <si>
    <t>Hogar geriátrico construido y dotado</t>
  </si>
  <si>
    <t>Construir y dotar un (1) hogar geriátrico para personas mayores en el Distrito</t>
  </si>
  <si>
    <t>Centros de vida para el adulto mayor adecuados</t>
  </si>
  <si>
    <t>Adecuar diez (10) Centros de Vida para el adulto mayor</t>
  </si>
  <si>
    <t xml:space="preserve">Ruta de atención a los adultos mayores maltratados o en estado de abandono actualizada y socializada
</t>
  </si>
  <si>
    <t xml:space="preserve">Actualizar y socializar una (1) ruta de atención a los adultos mayores maltratados o en estado de abandono
</t>
  </si>
  <si>
    <t>Programa Integral de Educación, Atención y Seguimiento para la Población Longeva y sus Cuidadores creado e implementado</t>
  </si>
  <si>
    <t>Crear e implementar un (1) Programa Integral de Educación, Atención y Seguimiento para la Población Longeva y sus Cuidadores</t>
  </si>
  <si>
    <t>Número de personas con discapacidad y sus cuidadoras atendidas con programas de la oferta institucional de la Secretaría de Participación y Desarrollo Social</t>
  </si>
  <si>
    <t>Atender a tres mil cuatrocientas cincuenta y dos (3.452) personas con discapacidad y sus cuidadoras con programas de la oferta institucional de la Secretaría de Participación y Desarrollo Social</t>
  </si>
  <si>
    <t>Espacios lúdicos inclusivos para NNA implementados en el Distrito</t>
  </si>
  <si>
    <t xml:space="preserve">Implementar cuatro (4) espacios lúdicos inclusivos para niños, niñas y adolescentes con discapacidad en el Distrito
</t>
  </si>
  <si>
    <t>Número de unidades productivas de personas con discapacidad y/o sus cuidadoras creadas y acompañadas</t>
  </si>
  <si>
    <t>Crear y/o acompañar doscientas (200) unidades productivas de personas con discapacidad y/o sus cuidadoras</t>
  </si>
  <si>
    <t>Caracterizaciones de la vocación productiva de personas con discapacidad y sus cuidadoras elaboradas</t>
  </si>
  <si>
    <t>Elaborar cuatro (4) caracterizaciones de la vocación productiva de personas con discapacidad y sus cuidadoras</t>
  </si>
  <si>
    <t>Empresas o emprendimientos de personas con discapacidad vinculados a eventos de interés del Distrito</t>
  </si>
  <si>
    <t>Vincular veinte (20) empresas o emprendimientos de personas con discapacidad a eventos de interés del Distrito</t>
  </si>
  <si>
    <t>Caracterizaciones anuales de ciudadanos habitantes de calle desarrolladas</t>
  </si>
  <si>
    <t>Desarrollar una (1) caracterización anual de ciudadanos habitantes de calle</t>
  </si>
  <si>
    <t>Jornadas de atención humanitaria de ciudadanos habitantes de calle implementadas</t>
  </si>
  <si>
    <t>Implementar cuarenta (40) jornadas de atención humanitaria a ciudadanos habitantes de calle</t>
  </si>
  <si>
    <t>Ciudadanos habitantes de calle atendidos en hogares de paso</t>
  </si>
  <si>
    <t>Atender anualmente ochenta (80) ciudadanos habitantes de calle en hogares de paso</t>
  </si>
  <si>
    <t>Ciudadanos habitantes de calle vinculados en procesos de rehabilitación y/o resocialización</t>
  </si>
  <si>
    <t>Vincular a ochenta (80) ciudadanos habitantes de calle en procesos de rehabilitación y/o resocialización</t>
  </si>
  <si>
    <t>Centro Intégrate mejorado técnica y tecnológicamente</t>
  </si>
  <si>
    <t>Mejorar técnica y tecnológicamente un (1) Centro Intégrate</t>
  </si>
  <si>
    <t>Número de jornadas extramurales de atención integral a la población migrante desarrolladas</t>
  </si>
  <si>
    <t>Desarrollar dos (2) jornadas extramurales anuales de atención integral a la población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</si>
  <si>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</si>
  <si>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</si>
  <si>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Número de personas migrantes, retornados y de acogida vinculadas laboralmente desde la ruta de inclusión productiva</t>
  </si>
  <si>
    <t>Vincular laboralmente a cincuenta y cinco (55) nuevos migrantes, retornados y de acogida desde la ruta de inclusión productiva</t>
  </si>
  <si>
    <t>Número de campañas de gestión del riesgo en temas de salud sexual y reproductiva a migrantes desarrolladas</t>
  </si>
  <si>
    <t>Desarrollar dos (2) campañas de gestión del riesgo en temas de salud reproductiva a migrantes</t>
  </si>
  <si>
    <t>Número de migrantes, retornados y de acogida vinculados al programa de atención al migrante</t>
  </si>
  <si>
    <t>Vincular a diez mil seiscientos (10.600) migrantes, retornados y de acogida al programa de atención al migrante</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</si>
  <si>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</si>
  <si>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</si>
  <si>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Numero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</si>
  <si>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</si>
  <si>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Número de rutas de atención integral de violencias basadas en orientación sexual e identidad de género creadas</t>
  </si>
  <si>
    <t>Crear una (1) ruta de atención integral de violencias basadas en orientación sexual e identidad de género</t>
  </si>
  <si>
    <t xml:space="preserve">Número de procesos de sensibilización a diferentes comunidades para propiciar la transformación de imaginarios sociales frente a personas con orientaciones sexuales e identidades de género diversas y sectores LGBTIQ+ implementados 
</t>
  </si>
  <si>
    <t>Implementar ocho (8) procesos de sensibilización a diferentes comunidades para propiciar la transformación de imaginarios sociales frente a personas con orientaciones sexuales e identidades de género diversas y sectores LGBTIQ+</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</si>
  <si>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</si>
  <si>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</si>
  <si>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Alianzas público-populares con organizaciones de cuidado comunitario Creadas</t>
  </si>
  <si>
    <t>Crear cuatro (4) alianzas público-populares con organizaciones de cuidado comunitario (1 al año)</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</si>
  <si>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</si>
  <si>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 e implementar un (1) plan piloto en el barrio Huellas de Alberto Uribe</t>
  </si>
  <si>
    <t>Acciones de transformación cultural para la democratización del cuidado (nuevas masculinidades) creadas</t>
  </si>
  <si>
    <t>Crear cuatro (4) acciones de transformación cultural para la democratización del cuidado (nuevas masculinidades)</t>
  </si>
  <si>
    <t>Sistema Distrital de Cuidado diseñado, estructurado e implementado</t>
  </si>
  <si>
    <t>Diseñar, estructurar e implementar un (1) Sistema Distrital de Cuidado</t>
  </si>
  <si>
    <t xml:space="preserve">Superación de la pobreza extrema y soberanía alimentaria
</t>
  </si>
  <si>
    <t>Número de personas con el derecho a la identificación garantizado</t>
  </si>
  <si>
    <t>Garantizar el derecho a la identificación de dieciséis mil (16.000) persona</t>
  </si>
  <si>
    <t>PLAN DE EMERGENCIA SOCIAL - PES</t>
  </si>
  <si>
    <t>Número de personas con situación militar definidas acompañadas por la estrategia PES</t>
  </si>
  <si>
    <t>Acompañar a dos mil doscientos (2.200) personas en la definición de su situación militar</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</si>
  <si>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</si>
  <si>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</si>
  <si>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Número de personas en pobreza extrema formadas en asuntos de Salud Integral</t>
  </si>
  <si>
    <t>Formar en asuntos de salud integral a doce mil (12.000) personas en condición de pobreza extrema</t>
  </si>
  <si>
    <t>Caracterización de los Consejos Comunitarios y Cabildo para el fortalecimiento de la práctica de medicina ancestral elaborada</t>
  </si>
  <si>
    <t>Elaborar una (1) caracterización de los Consejos Comunitarios y Cabildo para el fortalecimiento de la práctica de medicina ancestral</t>
  </si>
  <si>
    <t>Niños, niñas y adolescentes en pobreza extrema que se encuentra por fuera del sistema educativo vincular</t>
  </si>
  <si>
    <t>Vincular cinco mil quinientos cincuenta y seis (5.556) niños, niñas y adolescentes en pobreza extrema desescolarizados al sistema educativo.</t>
  </si>
  <si>
    <t>Número de jóvenes y adultos en pobreza extrema con acceso  a educación técnica.</t>
  </si>
  <si>
    <t>Vincular catorce mil (14.000) jóvenes y adultos en pobreza extrema en programas de  acceso  a educación técnica.</t>
  </si>
  <si>
    <t>Familias formadas sobre el valor de la educación</t>
  </si>
  <si>
    <t xml:space="preserve">Formar a veinticinco mil familias (25.000) sobre el valor de la educación 
</t>
  </si>
  <si>
    <t>Instituciones Educativas Oficiales del Distrito con programas de retención escolar implementados</t>
  </si>
  <si>
    <t>Implementar programas de retención escolar en cincuenta (50) Instituciones Educativas Oficiales</t>
  </si>
  <si>
    <t>Número de vivienda en sectores en pobreza extrema del Distrito de Cartagena mejoradas.</t>
  </si>
  <si>
    <t>Mejorar cinco mil (5.000) unidades de vivienda en sectores en pobreza extrema del Distrito de Cartagena</t>
  </si>
  <si>
    <t>Número de familias en situación de pobreza extrema dotadas con capital de trabajo y formación empresarial</t>
  </si>
  <si>
    <t>Dotar con capital de trabajo y formación empresarial a ocho mil (8.000) familias en pobreza extrema</t>
  </si>
  <si>
    <t>Centro de Oportunidades para el Empleo del Distrito de Cartagena creado</t>
  </si>
  <si>
    <t>Crear un (1) Centro de Oportunidades para el Empleo en el Distrito de Cartagena</t>
  </si>
  <si>
    <t>Número de emprendimientos y/o unidades productivas apoyadas técnica o financieramente</t>
  </si>
  <si>
    <t>Apoyar técnica y financieramente a tres mil ochocientos (3.800) emprendimientos y/o unidades productivas</t>
  </si>
  <si>
    <t>Organizaciones de economía popular integradas por población de pobreza extrema en economía solidaria impactadas</t>
  </si>
  <si>
    <t>Impactar a ochenta (80) organizaciones de economía popular integradas por población de pobreza extrema en economía solidaria</t>
  </si>
  <si>
    <t>Número de personas en pobreza extrema con vinculación de empleo formal gestionada</t>
  </si>
  <si>
    <t>Gestionar la vinculación de empleo formal para tres mil doscientas (3.200) personas en pobreza extrema (al menos 50% mujeres)</t>
  </si>
  <si>
    <t>Personas en pobreza extrema vinculadas  al sistema financiero.</t>
  </si>
  <si>
    <t>Vincular veinte mil (20.000) Personas en pobreza extrema vinculadas  al sistema financiero.</t>
  </si>
  <si>
    <t>Número de familias en situación de pobreza extrema con acceso a créditos financieros</t>
  </si>
  <si>
    <t>Lograr acceso a crédito financiero para tres mil (3.000) familias en pobreza extrema</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</si>
  <si>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</si>
  <si>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</si>
  <si>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</si>
  <si>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</si>
  <si>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</si>
  <si>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</si>
  <si>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Niños en primera infancia, personas mayores y población con discapacidad atendidos con la estrategia de ollas comunitarias</t>
  </si>
  <si>
    <t>Atender diez mil (10.000) niños en primera infancia, personas mayores y población con discapacidad con la estrategia de ollas comunitarias</t>
  </si>
  <si>
    <t>Numero de Mercados campesinos  realizados</t>
  </si>
  <si>
    <t>Realizar noventa y seis (96) eventos de Mercados campesinos</t>
  </si>
  <si>
    <t>Número de personas atendidas  Estrategia Guerra Frontal contra el Hambre</t>
  </si>
  <si>
    <t>Atender a cincuenta y un mil (51.000) personas con la estrategia Hambre Cero</t>
  </si>
  <si>
    <t>Numero de rutas de atención que permitan la atención oportuna para garantizar derechos y resolver conflictos creados</t>
  </si>
  <si>
    <t>Crear diecisiete (17) rutas de atención que permitan la atención oportuna para garantizar derechos y resolver conflictos</t>
  </si>
  <si>
    <t>Estrategias de comunicación para dar a conocer las rutas del Plan de Emergencia Social implementadas</t>
  </si>
  <si>
    <t>Implementar cuatro (4) estrategias de comunicación para dar a conocer las rutas del Plan de Emergencia Social</t>
  </si>
  <si>
    <t>Jornadas de atención integral a la comunidad "Gobierno al Barrio" desarrolladas.</t>
  </si>
  <si>
    <t>Desarrollar ciento veinte (120) jornadas de atención integral a la comunidad "Gobierno al Barrio".</t>
  </si>
  <si>
    <t>Número de jornadas de diálogos y gobernanzas desarrolladas</t>
  </si>
  <si>
    <t>Desarrollar setenta y dos (72) jornadas de diálogos y gobernanza en el Distrito de Cartagena a través de la estrategia “Encuentros Barriales”</t>
  </si>
  <si>
    <t>Número de puntos de atención habilitados de Renta Ciudadana, Renta Joven y Colombia Mayor</t>
  </si>
  <si>
    <t>Habilitar trece (13) puntos de atención para garantizar la atención de los beneficiarios y la operatividad del programa</t>
  </si>
  <si>
    <t>SECRETARÍA GENERAL - COORDINACIÓN RENTA CIUDADANA</t>
  </si>
  <si>
    <t>Número de jornadas complementarias para la atención y bienestar comunitario desarrolladas</t>
  </si>
  <si>
    <t>Desarrollar cuarenta y ocho (48) jornadas complementarias para la atención y bienestar comunitario</t>
  </si>
  <si>
    <t>Plan Maestro de Infraestructura Educativa formulado e implementado</t>
  </si>
  <si>
    <t>Formular un (1) Plan Maestro de Infraestructura Educativa</t>
  </si>
  <si>
    <t>SECRETARÍA DE EDUCACIÓN - SED</t>
  </si>
  <si>
    <t>Número de predios de IEO legalizados</t>
  </si>
  <si>
    <t>Legalizar sesenta (60) predios de Instituciones Educativas Oficiales</t>
  </si>
  <si>
    <t>Número de nuevas Instituciones Educativas Oficiales construidas</t>
  </si>
  <si>
    <t>Construir cinco (5) nuevas Instituciones Educativas Oficiales</t>
  </si>
  <si>
    <t>Número de sedes educativas reconstruidas y/o con ampliación de la infraestructura</t>
  </si>
  <si>
    <t>Reconstruir y/o ampliar quince (15) sedes educativas</t>
  </si>
  <si>
    <t>Número de sedes educativas mejoradas y/o adecuadas</t>
  </si>
  <si>
    <t>Mejorar y/o adecuar ochenta (80) sedes educativas</t>
  </si>
  <si>
    <t>Número de aulas con dotación de mobiliario escolar y material pedagógico</t>
  </si>
  <si>
    <t>Dotar mil (1.000) aulas con mobiliario escolar, aires acondicionados, abanicos y material pedagógico</t>
  </si>
  <si>
    <t>Número de Instituciones Educativas Oficiales con oferta de educación inicial para la atención a la primera infancia implementada</t>
  </si>
  <si>
    <t>Implementar encuarenta (40) IEO con oferta de educación inicial para la atención de la primera infancia</t>
  </si>
  <si>
    <t>Número de Instituciones Educativas Oficiales asesoradas con estrategias de articulación institucional para asegurar el tránsito armónico de niños y niñas desde los programas de atención a la primera infancia del ICBF al sistema educativo oficial</t>
  </si>
  <si>
    <t>Asesorar a ciento cinco (105) Instituciones Educativas Oficiales con estrategias de articulación institucional para asegurar el tránsito armónico de los niños y niñas desde los programas de atención a la primera infancia del ICBF al sistema educativo oficial</t>
  </si>
  <si>
    <t>Numero de niños, niñas y adolescentes focalizados con estrategias para el acceso al sistema educativo oficial</t>
  </si>
  <si>
    <t>Vincular a dos mil trescientos noventa (2.390) niños, niñas y adolescentes adicionales con estrategias para el acceso al sistema educativo oficial</t>
  </si>
  <si>
    <t>Número de estudiantes de Instituciones Educativas Oficiales atendidos con Programa de Alimentación Escolar como estrategia de permanencia</t>
  </si>
  <si>
    <t>Atender a ciento seis mil cuatrocientos ochenta y siete (106.487) estudiantes anualmente con el Programa de Alimentación Escolar como estrategia de permanencia</t>
  </si>
  <si>
    <t>Número de estudiantes de Instituciones Educativas Oficiales atendidos con transporte escolar</t>
  </si>
  <si>
    <t>Atender a cinco mil quinientos (5.500) estudiantes anualmente con transporte escolar</t>
  </si>
  <si>
    <t>Número de estudiantes de Instituciones Educativas Oficiales atendidos con otras estrategias de permanencia (kits escolares, uniformes, y jornadas escolares complementarias)</t>
  </si>
  <si>
    <t>Atender a diez mil (10.000) estudiantes anualmente con otras estrategias de permanencia</t>
  </si>
  <si>
    <t>Planes Institucionales de Permanencia Escolar – PIPE, formulados e implementados en Instituciones Educativas Oficiales</t>
  </si>
  <si>
    <t>Formular e implementar Planes Institucionales de Permanencia Escolar - PIPE en cuarenta y cinco (45) Instituciones Educativas Oficiales</t>
  </si>
  <si>
    <t>Número de Instituciones Educativas Oficiales vinculadas a estrategias para el fortalecimiento de la oferta de educación inclusiva para preescolar, básica y media</t>
  </si>
  <si>
    <t>Vincular a setenta y dos (72) Instituciones Educativas Oficiales a estrategias para el fortalecimiento de la oferta de educación inclusiva para preescolar, básica y media</t>
  </si>
  <si>
    <t>Número de aulas hospitalarias para la atención de niños, niñas, adolescentes y jóvenes en condición de enfermedad habilitadas</t>
  </si>
  <si>
    <t>Habilitar cuatro (4) Aulas Hospitalarias para la atención de niños, niñas, adolescentes y jóvenes en condición de enfermedad</t>
  </si>
  <si>
    <t>Número de Instituciones Educativas Oficiales con modelos educativos flexibles implementados</t>
  </si>
  <si>
    <t>Implementar veintisiete (27) Instituciones Educativas Oficiales con modelos educativos flexibles</t>
  </si>
  <si>
    <t>Número de niños, niñas, adolescentes y jóvenes en extraedad, que se encuentran dentro de la oferta regular, atendidos con modelos educativos flexibles en el sistema educativo oficial</t>
  </si>
  <si>
    <t>Atender con modelos educativos flexibles a cuatro mil (4.000) niños, niñas, adolescentes y jóvenes en extraedad, que se encuentran dentro de la oferta regular del sistema educativo oficial</t>
  </si>
  <si>
    <t>Número de niños, niñas, adolescentes y jóvenes en extraedad, que se encuentran por fuera del sistema educativo oficial, atendidos con modelos educativos flexibles</t>
  </si>
  <si>
    <t>Atender con modelos educativos flexibles a tres mil seiscientos noventa (3.690) niños, niñas, adolescentes y jóvenes en extraedad, que se encuentran por fuera del sistema educativo oficial</t>
  </si>
  <si>
    <t>Número de personas atendidas con modelos de alfabetización</t>
  </si>
  <si>
    <t>Atender a ocho mil cuatrocientas (8.400) personas con modelos de alfabetización</t>
  </si>
  <si>
    <t>Número de Instituciones Educativas Oficiales con estudiantes con capacidades excepcionales vinculados a Escuela de Talentos</t>
  </si>
  <si>
    <t>Vincular estudiantes con capacidades excepcionales a la Escuela de Talentos en cincuenta (50) Instituciones Educativas Oficiales</t>
  </si>
  <si>
    <t>Número de Instituciones Educativas Oficiales con proyectos pedagógicos transversales de cultura, deporte, recreación, actividad física y artes implementados</t>
  </si>
  <si>
    <t>Implementar proyectos pedagógicos transversales de cultura, deporte, recreación, actividad física y artes en cincuenta y nueve (59) Instituciones Educativas Oficiales</t>
  </si>
  <si>
    <t>Número de Instituciones Educativas Oficiales con proyectos pedagógicos transversales de educación ambiental, emprendimiento y otros implementados</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</si>
  <si>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</si>
  <si>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</si>
  <si>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Asistir a ciento siete (107) Instituciones Educativas Oficiales en su sistema escolar de convivencia, habilidades para la vida y la paz y gobierno escolar</t>
  </si>
  <si>
    <t>Número de Instituciones Educativas Oficiales que implementan el Acuerdo Distrital No. 113 de 2022</t>
  </si>
  <si>
    <t>Implementar el Acuerdo Distrital No. 113 de 2022 en ciento siete (107) Instituciones Educativas Oficiales, de formación en derechos humanos de las mujeres y prevención de las violencias de género, dirigido a niñas, niños y jóvenes</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</si>
  <si>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</si>
  <si>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Asitir tecnicamente a trece (13) Instituciones Educativas Oficiales en el proceso de tránsito de Proyecto Educativo Institucional – PEI a Proyecto Educativo Comunitario - PEC o Proyecto Educativo Intercultural</t>
  </si>
  <si>
    <t>Número de Instituciones Educativas Oficiales con Cátedra de Estudios Afrocolombianos (CEA) implementada</t>
  </si>
  <si>
    <t>Implementar la Cátedra de Estudios Afrocolombianos (CEA) en seis (6) Instituciones Educativas Oficiales adicionales</t>
  </si>
  <si>
    <t>Número de Instituciones Educativas Oficiales acompañadas en el fortalecimiento de la enseñanza de lenguas extranjeras, especialmente las focalizadas en los Colegios Amigos del Turismo</t>
  </si>
  <si>
    <t>Acompañar a cincuenta y cinco (55) Instituciones Educativas Oficiales en el fortalecimiento de la enseñanza de lenguas extranjeras, especialmente las focalizadas en los Colegios Amigos del Turismo</t>
  </si>
  <si>
    <t>Número de docentes formados en una segunda lengua</t>
  </si>
  <si>
    <t>Formar a seiscientos (600) docentes en una segunda lengua</t>
  </si>
  <si>
    <t>Número de docentes formados en evaluación por competencias en las áreas que evalúa el ICFES</t>
  </si>
  <si>
    <t>Formar a seiscientos (600) docentes en evaluación por competencias en las áreas que evalúa el ICFES</t>
  </si>
  <si>
    <t>Número de estudiantes de grado 9, 10 y 11 formados para las Pruebas Saber</t>
  </si>
  <si>
    <t>Desarrollar setenta y ocho mil doscientos (78.200) formaciones a estudiantes de grado 9, 10 y 11 de las 107 Instituciones Educativas Oficiales en procesos de preparación para las Pruebas Saber</t>
  </si>
  <si>
    <t>Número de Instituciones Educativas Oficiales asesoradas en el análisis y uso de resultados de Pruebas Saber</t>
  </si>
  <si>
    <t>Asesorar técnicamente a sesenta y dos (62) nuevas Instituciones Educativas Oficiales en el análisis y uso de resultados de Pruebas Saber</t>
  </si>
  <si>
    <t>Número de Instituciones Educativas Oficiales con Plan Institucional de Lectura, Escritura y Oralidad (PILEO) implementado</t>
  </si>
  <si>
    <t>Implementar el Plan Institucional de Lectura, Escritura y Oralidad en ochenta y siete (87) Instituciones Educativas Oficiales</t>
  </si>
  <si>
    <t>Número de Instituciones Educativas Oficiales dotadas con material bibliográfico</t>
  </si>
  <si>
    <t>Dotar las bibliotecas escolares de ochenta y seis (86) Instituciones Educativas Oficiales con material bibliográfico</t>
  </si>
  <si>
    <t>Red de Bibliotecas Escolares integrada al sistema de bibliotecas públicas creada</t>
  </si>
  <si>
    <t>Crear una (1) Red de Bibliotecas Escolares integrada al sistema de bibliotecas públicas</t>
  </si>
  <si>
    <t>Ferias Distritales de Radio Escolar desarrolladas</t>
  </si>
  <si>
    <t>Desarrollar cuatro (4) Ferias Distritales de Radio Escolar</t>
  </si>
  <si>
    <t>Número de Instituciones Educativas Oficiales dotadas con materiales y equipos radiofónicos</t>
  </si>
  <si>
    <t>Dotar con material y equipo radiofónico a treinta (30) Instituciones Educativas Oficiales adicionales para la implementación de la radio escolar</t>
  </si>
  <si>
    <t>Número de Instituciones Educativas Oficiales que mejoran en resultados de pruebas - EGRA (Early Grade Reading Assessment)</t>
  </si>
  <si>
    <t>Mejorar en quince (15) Instituciones Educativas las destrezas básicas de alfabetismo en básica primaria medidos a través de EGRA</t>
  </si>
  <si>
    <t>Número de Instituciones Educativas Oficiales que mejoran en resultados de pruebas - EGMA (Early Grades Mathematics Assessment)</t>
  </si>
  <si>
    <t>Mejorar en quince (15) Instituciones Educativas las habilidades en matemáticas de las pruebas EGMA</t>
  </si>
  <si>
    <t>Número de docentes de Instituciones Educativas Oficiales formados en su saber disciplinar, pedagógico y reflexivo</t>
  </si>
  <si>
    <t>Formar a dos mil (2.000) docentes de Instituciones Educativas Oficiales en su saber disciplinar, pedagógico y reflexivo</t>
  </si>
  <si>
    <t>Número de directivos docentes formados en liderazgo</t>
  </si>
  <si>
    <t>Formar a ciento siete (107) rectores de Instituciones Educativas Oficiales en liderazgo y gestión educativa</t>
  </si>
  <si>
    <t>Número de foros educativos distritales anuales elaborados</t>
  </si>
  <si>
    <t>Elaborar cuatro (4) foros educativos en el cuatrienio</t>
  </si>
  <si>
    <t>Numero de Instituciones Educativas Oficiales, con asistencia tecnica en el proceso de actualización de sus modelos pedagógicos y curriculares</t>
  </si>
  <si>
    <t>Asistir tecnicamente a ciento siete (107) Instituciones Educativas Oficiales en el proceso de actualización de sus modelos pedagógicos y curriculares</t>
  </si>
  <si>
    <t>Sistema propio de información de la Gestión Escolar diseñado</t>
  </si>
  <si>
    <t>Crear un (1) sistema de información de la Gestión Escolar</t>
  </si>
  <si>
    <t>Referentes técnicos de educación inicial y preescolar incorporados en PEI de instituciones educativas que ofertan los grados prejardín, jardín y transición</t>
  </si>
  <si>
    <t>Incorporar los referentes técnicos de educación inicial y preescolar en los PEI de cuarenta (40) instituciones educativas que ofertan los grados prejardín, jardín y transición</t>
  </si>
  <si>
    <t>Número de estudiantes egresados de Instituciones Educativas Oficiales y con matrícula contratada becados en educación superior</t>
  </si>
  <si>
    <t>Becar en educación superior a nueve mil (9.000) estudiantes egresados de Instituciones Educativas Oficiales y con matrícula contratada</t>
  </si>
  <si>
    <t>Número de estudiantes egresados de Instituciones Educativas Oficiales y con matrícula contratada becados con becas inclusivas en educación superior (víctimas, NARP, con discapacidad, indígenas)</t>
  </si>
  <si>
    <t>Becar en educación superior a quinientas cuarenta y cuatro (544) estudiantes egresados de Instituciones Educativas Oficiales y con matrícula contratada, con becas inclusivas</t>
  </si>
  <si>
    <t>Número de estudiantes de media técnica graduados con doble titulación</t>
  </si>
  <si>
    <t>Graduar doce mil (12.000) estudiantes de media técnica con doble titulación</t>
  </si>
  <si>
    <t>Número de Instituciones Educativas Oficiales con media técnica y académicas con doble titulación implementada</t>
  </si>
  <si>
    <t>Implementar doble titulación en veinticinco (25) Instituciones Educativas Oficiales con media técnica e Instituciones Educativas Oficiales académicas</t>
  </si>
  <si>
    <t>Numero de Instituciones Educativas Oficiales con nodos de media técnica asistidas con programas pilotos de bilingüismo</t>
  </si>
  <si>
    <t>Asistir con programas piloto de bilingüismo a cinco (5)
Instituciones Educativas Oficiales con nodos de media técnica</t>
  </si>
  <si>
    <t>Número de estudiantes con formación técnica para el trabajo y el desarrollo humano</t>
  </si>
  <si>
    <t>Formar a quinientos (500) estudiantes en educación técnica para el trabajo y el desarrollo humano</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</si>
  <si>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</si>
  <si>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</si>
  <si>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PROGRAMA: AVANZAMOS EN EL FORTALECIMIENTO INSTITUCIONAL DE LA SECRETARÍA DE EDUCACIÓN</t>
  </si>
  <si>
    <t>Numero de políticas armonizadas del Modelo Integrado de Planeación y Gestión – MIPG en la SED</t>
  </si>
  <si>
    <t>Armonizar las diecinueve (19) políticas del Modelo Integrado de Planeación y Gestión - MIPG en la Secretaría de Educación</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</si>
  <si>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</si>
  <si>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</si>
  <si>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Plan de Bienestar y Protección para los funcionarios del sector educativo de Cartagena implementado</t>
  </si>
  <si>
    <t>Implementar un (1) Plan de Bienestar y Protección otorgados a los Funcionarios del Sector Educativo de Cartagena</t>
  </si>
  <si>
    <t>Reorganización administrativa y de procesos de la Secretaría de Educación diseñada, aprobada e implementada</t>
  </si>
  <si>
    <t>Diseñar, aprobar e implementar una (1) nueva estructura administrativa y de procesos de la Secretaría de Educación</t>
  </si>
  <si>
    <t>Número de sedes educativas con conectividad escolar implementada</t>
  </si>
  <si>
    <t>Implementar conectividad escolar en ciento cincuenta (150) sedes educativas del Distrito</t>
  </si>
  <si>
    <t>Número de aulas RTCi para el desarrollo de competencias digitales en las Instituciones Educativas Oficiales habilitadas</t>
  </si>
  <si>
    <t>Habilitar ocho (8) aulas RTCi para el desarrollo de competencias digitales en las Instituciones Educativas Oficiales</t>
  </si>
  <si>
    <t>Número de Instituciones Educativas Oficiales asistidas en las prácticas de ciencia, innovación y tecnología</t>
  </si>
  <si>
    <t>Asistir a ochenta y cinco (85) Instituciones Educativas Oficiales en las prácticas de ciencia, innovación y tecnología</t>
  </si>
  <si>
    <t>Estrategias de internacionalización implementadas</t>
  </si>
  <si>
    <t>Implementar veinte (20) estrategias que permitan la internacionalización de los programas institucionales</t>
  </si>
  <si>
    <t>Institución Universitaria Mayor de Cartagena.  (Calidad Académica)</t>
  </si>
  <si>
    <t>Plataforma virtual integral institucional implementada</t>
  </si>
  <si>
    <t>Implementar una (1) Plataforma Virtual integral institucional</t>
  </si>
  <si>
    <t>Metros cuadrados de infraestructura física institucional de la U. Mayor construidos</t>
  </si>
  <si>
    <t>Construir mil quinientos veintiséis (1.526) metros cuadrados de infraestructura física actual de la U. Mayor</t>
  </si>
  <si>
    <t>Espacios académicos y/o administrativos acondicionados y dotados</t>
  </si>
  <si>
    <t>Acondicionar y dotar cinco (5) nuevos espacios académicos y/o administrativos</t>
  </si>
  <si>
    <t>Programas de pregrado nuevos de la U. Mayor creados</t>
  </si>
  <si>
    <t>Crear seis (6) programas de pregrado nuevos</t>
  </si>
  <si>
    <t>Programas de posgrado nuevo ofertados</t>
  </si>
  <si>
    <t>Ofertar dos (2) nuevos programas de posgrado</t>
  </si>
  <si>
    <t>Número de estudiantes nuevos matriculados en la U. Mayor</t>
  </si>
  <si>
    <t>Matricular dos mil doscientos treinta y cuatro (2234) estudiantes nuevos</t>
  </si>
  <si>
    <t>Número de jóvenes formados como técnicos laborales en oficios tradicionales</t>
  </si>
  <si>
    <t>Formar a mil seiscientos (1.600) jóvenes en procesos de formación técnica en oficios tradicionales</t>
  </si>
  <si>
    <t>Escuela Taller Cartagena de Indias (ETCAR)</t>
  </si>
  <si>
    <t>Número de jóvenes vinculados en procesos de formación complementaria en oficios tradicionales</t>
  </si>
  <si>
    <t>Vincular a cuatrocientos (400) jóvenes en procesos de formación complementaria en oficios tradicionales</t>
  </si>
  <si>
    <t>Número de mujeres formadas en oficios técnicos y complementarios</t>
  </si>
  <si>
    <t>Formar a doscientos cuarenta (240) mujeres en los programas de formación en oficios técnicos y complementarios</t>
  </si>
  <si>
    <t>Número de egresados vinculados laboralmente a la Escuela Taller</t>
  </si>
  <si>
    <t>Vincular a doscientos (200) egresados de la Escuela Taller en oficios tradicionales</t>
  </si>
  <si>
    <t>Número de ambientes de aprendizaje mejorados</t>
  </si>
  <si>
    <t>Mejorar la infraestructura de nueve (9) ambientes de aprendizaje</t>
  </si>
  <si>
    <t>Número de usuarios conectados a la red de servicio de acueducto del Distrito</t>
  </si>
  <si>
    <t>Llevar trescientos diecisiete mil cuatrocientos ochenta y tres (317.483) el numero de usuarios conectados a la red de servicio de acueducto</t>
  </si>
  <si>
    <t>SECRETARÍA GENERAL - SECRETARÍA DE INFRAESTRUCTURA</t>
  </si>
  <si>
    <t>Kilómetros de refuerzo de conducción e impulsión de acueducto en el Distrito construidos</t>
  </si>
  <si>
    <t>Construir nueve (9) kilómetros de refuerzo de conducción y/o impulsión de acueducto</t>
  </si>
  <si>
    <t>Número de obras ejecutadas para la mejora de distribución de agua potable en el Distrito</t>
  </si>
  <si>
    <t>Ejecutar seis (6) obras para la mejora de distribución de agua potable</t>
  </si>
  <si>
    <t>Metros cúbicos de agua potable suministrados como soluciones alternativas o transitorias de acceso al agua potable en el Distrito de Cartagena</t>
  </si>
  <si>
    <t>Suministrar cuatrocientos cuarenta y ocho mil ochocientos (448.800) metros cúbicos de agua potable mediante soluciones alternativas o transitorias</t>
  </si>
  <si>
    <t>Número de usuarios conectados a la red de servicio de alcantarillado del Distrito</t>
  </si>
  <si>
    <t>Llevar a doscientos noventa y cinco mil quinientos veintinueve (295.529) el número de usuarios conectados a la red de servicio de alcantarillado</t>
  </si>
  <si>
    <t>Metros lineales de colectores de alcantarillado sanitario construidos en el Distrito</t>
  </si>
  <si>
    <t>Construir quinientos noventa y dos (592) metros lineales de colectores de alcantarillado sanitario</t>
  </si>
  <si>
    <t>Número de hectáreas de áreas de importancia estratégica con acciones de conservación y/o protección</t>
  </si>
  <si>
    <t>Proteger cuarenta y cinco (45) hectáreas de áreas de importancia estratégica con acciones de conservación y/o protección</t>
  </si>
  <si>
    <t>Número de servicios de apoyo financiero (subsidios) para usuarios de los servicios públicos domiciliarios de acueducto, alcantarillado y aseo estratos 1,2 y 3 del Distrito entregados</t>
  </si>
  <si>
    <t xml:space="preserve">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t>
  </si>
  <si>
    <t>SECRETARÍA GENERAL</t>
  </si>
  <si>
    <t>Número de lámparas o luminarias de alumbrado público en funcionamiento</t>
  </si>
  <si>
    <t>Instalar y poner en funcionamiento siete mil (7.000) lámparas o luminarias de alumbrado público</t>
  </si>
  <si>
    <t>Número de lámparas o luminarias con energías renovables instaladas</t>
  </si>
  <si>
    <t>Instalar ochocientas (800) lámparas o luminarias con energía renovable</t>
  </si>
  <si>
    <t>Número de iniciativas de generación de energía a partir de fuentes no convencionales implementadas</t>
  </si>
  <si>
    <t>Implementar tres (5) iniciativas de generación de energía a partir de fuentes no convencionales</t>
  </si>
  <si>
    <t>Número de barrios con monitoreo de información en la prestación del servicio del alumbrado público implementado</t>
  </si>
  <si>
    <t>Implementar en seis (6) barrios el monitoreo de información en la prestación del servicio de alumbrado público</t>
  </si>
  <si>
    <t>PGIRS del Distrito actualizado</t>
  </si>
  <si>
    <t>Actualizar un (1) Plan de Gestión Integral de Residuos Sólidos</t>
  </si>
  <si>
    <t>Número de convocatorias promovidas para la asignación de incentivo al Aprovechamiento y Tratamiento de Residuos Sólidos (IAT) en el Distrito</t>
  </si>
  <si>
    <t>Promover cuatro (4) convocatorias para la asignación de incentivo al Aprovechamiento y Tratamiento de Residuos Sólidos (IAT) en el Distrito</t>
  </si>
  <si>
    <t>Censo de recicladores del Distrito actualizado</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</si>
  <si>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</si>
  <si>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</si>
  <si>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</si>
  <si>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</si>
  <si>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</si>
  <si>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</si>
  <si>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</si>
  <si>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</si>
  <si>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</si>
  <si>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</si>
  <si>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Recuperar veinticuatro (24) puntos críticos en el Distrito</t>
  </si>
  <si>
    <t>Número de personas formadas en aprovechamiento de residuos</t>
  </si>
  <si>
    <t>Formar cien mil (100.000) personas en aprovechamiento de residuos en el Distrito</t>
  </si>
  <si>
    <t>Número de programas de formación para recicladores de oficio implementados</t>
  </si>
  <si>
    <t>Implementar un (1) programa de formación para recicladores de oficio</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</si>
  <si>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</si>
  <si>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</si>
  <si>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</si>
  <si>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</si>
  <si>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Hogares beneficiados con servicio de apoyo financiero para adquisición de vivienda</t>
  </si>
  <si>
    <t>Beneficiar a diez mil (10.000) hogares con subsidios familiares de adquisición de vivienda de interés social</t>
  </si>
  <si>
    <t>CORVIVIENDA</t>
  </si>
  <si>
    <t>Hogares beneficiados con mejoramiento de vivienda urbana</t>
  </si>
  <si>
    <t>Beneficiar a doce mil setecientos cincuenta (12.750) hogares con subsidios familiares para mejoramiento de vivienda urbana</t>
  </si>
  <si>
    <t>Número de predios legalizados o titulados</t>
  </si>
  <si>
    <t>Titular o legalizar cinco mil (5.000) predios</t>
  </si>
  <si>
    <t>Número de Documentos de planeación - DTS para la legalización urbanística elaborados</t>
  </si>
  <si>
    <t>Elaborar cinco (5) Documentos Técnicos de Soporte para la solicitud de legalización de 100 hectáreas en los asentamientos humanos priorizados del Distrito</t>
  </si>
  <si>
    <t>Número de documentos normativos para legalización de asentamientos humanos adoptados</t>
  </si>
  <si>
    <t>Adoptar seis (6) documentos normativos para la legalización de 122 hectáreas en asentamientos humanos</t>
  </si>
  <si>
    <t>SECRETARÍA DE PLANEACIÓN</t>
  </si>
  <si>
    <t>Número de sistemas de información de vivienda actualizados</t>
  </si>
  <si>
    <t>Actualizar un (1) sistema de información de vivienda</t>
  </si>
  <si>
    <t>Número de personas con acceso efectivo a procesos de lenguaje, lectura, escritura y oralidad. </t>
  </si>
  <si>
    <t>Vincular a trescientas seis mil cincuenta y nueve (306.059) personas de manera efectiva a los procesos de lenguaje, lectura, escritura y oralidad</t>
  </si>
  <si>
    <t>IPCC</t>
  </si>
  <si>
    <t>Número de bibliotecas dotadas y en funcionamiento</t>
  </si>
  <si>
    <t>Dotar de mobiliario y equipo y mantener en funcionamiento dieciocho (18) bibliotecas</t>
  </si>
  <si>
    <t>Número de actividades de extensión bibliotecaria implementadas</t>
  </si>
  <si>
    <t>Implementar mil ochocientas (1.800) actividades de extensión bibliotecaria</t>
  </si>
  <si>
    <t>Plan de Fortalecimiento para la Consolidación de la Red de Bibliotecas Distritales</t>
  </si>
  <si>
    <t>Formular e implementar un (1) Plan de Fortalecimiento para la Consolidación de la Red de Bibliotecas Distritales</t>
  </si>
  <si>
    <t>Plan de Fortalecimiento para la Red de Museos Distrital diseñado e implementado</t>
  </si>
  <si>
    <t>Diseñar e implementar un (1) Plan de Fortalecimiento para la Red de Museos Distrital</t>
  </si>
  <si>
    <t>Número de infraestructuras culturales mejoradas, adecuadas y/o dotadas</t>
  </si>
  <si>
    <t>Mejorar, adecuar y/o dotar treinta y cuatro (34) infraestructuras culturales accesibles, inclusivas y diversas</t>
  </si>
  <si>
    <t>Número de infraestructuras culturales construidas y dotadas</t>
  </si>
  <si>
    <t>Construir y dotar dos (2) infraestructuras culturales accesibles, inclusivas y diversas</t>
  </si>
  <si>
    <t>Número de estrategias de aprovechamiento en espacios culturales implementadas</t>
  </si>
  <si>
    <t>Implementar estrategias de aprovechamiento en treinta y tres (34) espacios culturales (creación, divulgación, producción y difusión)</t>
  </si>
  <si>
    <t>Número de estímulos otorgados o proyectos apoyados. </t>
  </si>
  <si>
    <t>Otorgar mil (1.000) estímulos culturales y artísticos</t>
  </si>
  <si>
    <t>Número de estímulos otorgados con enfoque diferencial e interseccional. </t>
  </si>
  <si>
    <t>Otorgar cien (100) estímulos con enfoque diferencial e intersecciona</t>
  </si>
  <si>
    <t>Número de mercados o espacios de circulación para emprendimientos culturales y artísticos. </t>
  </si>
  <si>
    <t>Crear seis (6) mercados o espacios de circulación para emprendimientos culturales y artísticos</t>
  </si>
  <si>
    <t>Número de emprendimientos y/o micronegocios de economía popular del sector cultura, arte y patrimonio apoyados financieramente </t>
  </si>
  <si>
    <t>Otorgar ciento cincuenta (150) apoyos financieros para micronegocios de economía popular del sector cultura, arte y patrimonio</t>
  </si>
  <si>
    <t>Número de personas beneficiarias del programa de formación artística y cultural.</t>
  </si>
  <si>
    <t>Vincular a mil ochocientas (1.800) personas en el programa de Formación Artística y Cultural</t>
  </si>
  <si>
    <t>Sistema Distrital de Formación Artística y Cultural creado e implementado</t>
  </si>
  <si>
    <t>Crear e implementar un (1) Sistema Distrital de Formación Artística y Cultural</t>
  </si>
  <si>
    <t>Estrategia de modernización y mejoramiento del desempeño institucional del Instituto de Patrimonio y Cultura diseñada e implementada</t>
  </si>
  <si>
    <t>Diseñar e implementar una (1) estrategia de modernización y mejoramiento del desempeño institucional del Instituto de Patrimonio y Cultura</t>
  </si>
  <si>
    <t>Plan de fortalecimiento para el Sistema Distrital de Cultura y consejos de áreas artísticas</t>
  </si>
  <si>
    <t>Diseñar e implementar un (1) plan de fortalecimiento para Sistema Distrital de Cultura y consejos de áreas artísticas</t>
  </si>
  <si>
    <t>Implementación de la Comisión Fílmica de Cartagena de Indias y adquisición del PUFAC (Permiso Unificado de Filmaciones Audiovisuales) </t>
  </si>
  <si>
    <t>Implementar una (1) Comisión Fílmica en Cartagena de Indias y adquisición del PUFAC (Permiso Unificado de Filmaciones Audiovisuales) </t>
  </si>
  <si>
    <t>Política Pública Distrital de Cinematografía, Medios Audiovisuales e Interactivos formulada e implementada</t>
  </si>
  <si>
    <t>Formular e implementar una (1) Política Pública Distrital de Cinematografía, Medios Audiovisuales e Interactivos</t>
  </si>
  <si>
    <t>Cinemateca de Cartagena de Indias construida</t>
  </si>
  <si>
    <t>Construir una (1) cinemateca de Cartagena de Indias </t>
  </si>
  <si>
    <t>Número de festivales, fiestas y festejos implementados y desarrollados</t>
  </si>
  <si>
    <t>Implementar y desarrollar dieciséis (16) festivales, fiestas y festejos para promoción del patrimonio inmaterial</t>
  </si>
  <si>
    <t>Festival de Música del Caribe impulsado anualmente</t>
  </si>
  <si>
    <t>Impulsar anualmente el desarrollo de un (1) Festival de Música del Caribe</t>
  </si>
  <si>
    <t>Inventario del patrimonio cultural material e inmaterial de Cartagena elaborado</t>
  </si>
  <si>
    <t>Elaborar un (1) inventario del patrimonio cultural material e inmaterial de Cartagena</t>
  </si>
  <si>
    <t>Número de estrategias para la preservación y protección de las tradiciones técnicas, costumbres y saberes propias de la cultura cartagenera diseñadas e implementadas</t>
  </si>
  <si>
    <t>Diseñar e implementar cuatro (4) estrategias para la preservación y protección de las tradiciones técnicas, costumbres y saberes propias de la cultura cartagenera (cultura alimentaria de las matronas, artesanía, tradición oral, entre otras)</t>
  </si>
  <si>
    <t>Plan Maestro para el cuidado, conservación y apropiación social del patrimonio material elaborado e implementado</t>
  </si>
  <si>
    <t>Elaborar e implementar un (1) Plan Maestro para el cuidado, conservación y apropiación social del patrimonio material</t>
  </si>
  <si>
    <t>Número de piezas de la colección del Museo Histórico de Cartagena intervenidas</t>
  </si>
  <si>
    <t>Intervenir seiscientas cuarenta (640) piezas de la colección del Museo Histórico de Cartagena</t>
  </si>
  <si>
    <t>Número de obras de infraestructura al bien de interés cultural, mejoradas, adecuadas y/o dotadas</t>
  </si>
  <si>
    <t>Mejorar, adecuar y/o dotar dos (2) pisos del bien de interés cultural: Palacio de la Inquisición</t>
  </si>
  <si>
    <t>Plan para la Consolidación y Promoción de la Memoria Histórica de Cartagena, formulado e implementado</t>
  </si>
  <si>
    <t>Formular e implementar un (1) Plan para la Consolidación y Promoción de la Memoria Histórica de Cartagena</t>
  </si>
  <si>
    <t>Número de escenarios deportivos nuevos construidos</t>
  </si>
  <si>
    <t>Construir doce (12) nuevos escenarios deportivos</t>
  </si>
  <si>
    <t>IDER</t>
  </si>
  <si>
    <t>Complejo Deportivo Nuevo Chambacú construido</t>
  </si>
  <si>
    <t>Construir un (1) Complejo Deportivo Nuevo Chambacú</t>
  </si>
  <si>
    <t>Número de escenarios deportivos reconstruidos</t>
  </si>
  <si>
    <t>Reconstruir dieciséis (16) escenarios deportivos</t>
  </si>
  <si>
    <t>Número de escenarios deportivos mantenidos, adecuados, y/o mejorados en el distrito de Cartagena de Indias</t>
  </si>
  <si>
    <t>Mantener, adecuar y/o mejorar trescientos  (300) escenarios deportivos</t>
  </si>
  <si>
    <t>Número de incentivos y/o apoyos otorgados a deportistas de alto rendimiento, convencionales y paralímpicos</t>
  </si>
  <si>
    <t>Entregar mil ciento treinta y dos (1.132) incentivos y/o apoyos para deportistas convencionales y paralímpicos</t>
  </si>
  <si>
    <t>Número de incentivos y/o apoyos otorgados a ligas, clubes, federaciones y otras organizaciones deportivas</t>
  </si>
  <si>
    <t>Otorgar trescientos veinte (320) incentivos y/o apoyos para ligas, clubes, federaciones y otras organizaciones deportivas</t>
  </si>
  <si>
    <t>Número de personas participantes de procesos de apropiación social del conocimiento del sector deportivo</t>
  </si>
  <si>
    <t>Vincular a veintiún mil quinientas (21.500) personas en procesos de apropiación social del conocimiento del sector deportivo</t>
  </si>
  <si>
    <t>Número de documentos de investigación en memoria histórica del deporte cartagenero y bolivarense publicados</t>
  </si>
  <si>
    <t>Publicar doce (12) documentos de investigación en memoria histórica del deporte cartagenero y bolivarense</t>
  </si>
  <si>
    <t>Número de niños, niñas, adolescentes y jóvenes inscritos en la escuela de iniciación y formación deportiva</t>
  </si>
  <si>
    <t>Vincular a veintiséis mil ochocientos (26.800) niños, niñas, adolescentes y jóvenes en la escuela de iniciación y formación deportiva</t>
  </si>
  <si>
    <t>Número de núcleos de la escuela iniciativa y formación deportiva mantenidas y creados</t>
  </si>
  <si>
    <t>Mantener cincuenta y cinco (55) y crear seis (6) núcleos de la escuela iniciativa y formación deportiva</t>
  </si>
  <si>
    <t>Número de núcleos de educación física extraescolar creados</t>
  </si>
  <si>
    <t>Crear cuatro (4) núcleos de educación física extraescolar </t>
  </si>
  <si>
    <t>SECRETARÍA DE EDUCACIÓN SED – IDER</t>
  </si>
  <si>
    <t xml:space="preserve">Número de participantes en los diferentes eventos y/o torneos de las instituciones educativas y las universidades
</t>
  </si>
  <si>
    <t xml:space="preserve">Vincular a veintiocho mil (28.000) participantes en los eventos y/o torneos de las instituciones educativas y las universidades
</t>
  </si>
  <si>
    <t xml:space="preserve">Número de instituciones
educativas participantes en
los Juegos Intercolegiado
</t>
  </si>
  <si>
    <t>Vincular a doscientas (200) Instituciones Educativas en los Juegos Intercolegiados</t>
  </si>
  <si>
    <t>Número de personas participantes vinculadas en los eventos y/o torneos del deporte social comunitario</t>
  </si>
  <si>
    <t>Vincular a sesenta y un mil (61.000) personas en los eventos y/o torneos del deporte social comunitario</t>
  </si>
  <si>
    <t>Número de participantes vinculados en las estrategias y/o actividades de recreación comunitaria.</t>
  </si>
  <si>
    <t>Vincular a ciento ochenta mil (180.000) participantes en las estrategias y/o actividades de recreación comunitaria</t>
  </si>
  <si>
    <t>Número de participantes vinculados a las estrategias de actividad física</t>
  </si>
  <si>
    <t>Vincular a ciento veinte mil (120.000) participantes a las estrategias de actividad física</t>
  </si>
  <si>
    <t>Número de eventos deportivos de carácter regional, nacional e internacional impulsados</t>
  </si>
  <si>
    <t>Impulsar doscientos (200) eventos deportivos de carácter regional, nacional e internacional</t>
  </si>
  <si>
    <t>Número de personas vinculadas a los eventos deportivos de carácter regional, nacional e internacional</t>
  </si>
  <si>
    <t>Vincular a sesenta mil (60.000) personas a los eventos deportivos de carácter regional, nacional e internacional</t>
  </si>
  <si>
    <t>Número de eventos recreativos de carácter regional, nacional e internacional impulsados</t>
  </si>
  <si>
    <t>Impulsar noventa y seis (96) eventos recreativos de carácter regional, nacional e internacional</t>
  </si>
  <si>
    <t>Número de personas vinculadas a los eventos recreativos de carácter regional, nacional e internacional</t>
  </si>
  <si>
    <t>Vincular a sesenta y cinco mil (65.000) personas a los eventos recreativos de carácter regional, nacional e internacional</t>
  </si>
  <si>
    <t>Número de niñas y niños en primera infancia con atenciones priorizadas en el marco de la atención integral</t>
  </si>
  <si>
    <t>Atender a dos mil ochocientos (2.800) niñas y niños en primera infancia en el marco de la atención integral anualmente</t>
  </si>
  <si>
    <t>SECRETARÍA DE PARTICIPACIÓN DE DESARROLLO SOCIAL</t>
  </si>
  <si>
    <t>Número de padres, madres, cuidadores participantes en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</si>
  <si>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</si>
  <si>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Centros de Desarrollo Infantil construidos y dotados en el Distrito</t>
  </si>
  <si>
    <t>Construir y dotar dos (2) Centros de Desarrollo Infantil en el Distrito</t>
  </si>
  <si>
    <t>Centros de desarrollo infantil adecuados</t>
  </si>
  <si>
    <t>Adecuar tres (3) Centros de Desarrollo Infantil</t>
  </si>
  <si>
    <t>Número de niños, niñas y adolescentes que participan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</si>
  <si>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</si>
  <si>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</si>
  <si>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</si>
  <si>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</si>
  <si>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</si>
  <si>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Número de padres, madres y cuidadores formados para la prevención de las violencias y buena crianza hacia NNA.</t>
  </si>
  <si>
    <t>Formar a ocho mil (8.000) padres, madres y cuidadores en prevención de las violencias y buena crianza a niños, niñas y adolescentes</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</si>
  <si>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</si>
  <si>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</si>
  <si>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</si>
  <si>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</si>
  <si>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Plan Regional de Competitividad actualizado</t>
  </si>
  <si>
    <t>Acciones que fortalezcan el mejoramiento del clima de negocios implementadas</t>
  </si>
  <si>
    <t>SECRETARÍA DE HACIENDA</t>
  </si>
  <si>
    <t>Estrategias de acompañamiento de iniciativas de clúster y apuestas productivas promisorias ejecutadas con apuestas productivas hacia sectores de mayor generación de valor agregado</t>
  </si>
  <si>
    <t>Personas beneficiadas con la implementación de planes de fomento de la cultura de la innovación</t>
  </si>
  <si>
    <t>Sistema Distrital de Innovación actualizado</t>
  </si>
  <si>
    <t>Estrategias de posicionamiento “Cartagena Plataforma Exportadora” implementadas</t>
  </si>
  <si>
    <t>Empresas asistidas en programa de exportaciones</t>
  </si>
  <si>
    <t>Alianzas para la promoción de Cartagena como “destino internacional en inversiones y apuestas productivas” generadas</t>
  </si>
  <si>
    <t>Rutas para la diversificación económica y el desarrollo empresarial implementadas</t>
  </si>
  <si>
    <t>Estrategias de fortalecimiento empresarial y generación de encadenamientos productivos ejecutadas</t>
  </si>
  <si>
    <t>MiPymes impactadas con servicios de fortalecimiento empresarial</t>
  </si>
  <si>
    <t>Programa de fortalecimiento de comerciantes de sectores estratégicos implementado</t>
  </si>
  <si>
    <t>Número de alianzas de cooperantes nacionales e internacionales habilitadas y consolidadas en el Distrito</t>
  </si>
  <si>
    <t>Número de organizaciones mapeadas y habilitadas para cooperar</t>
  </si>
  <si>
    <t>SECRETARÍA GENERAL - COOPERACIÓN INTERNACIONAL</t>
  </si>
  <si>
    <t>Negocios verdes consolidados</t>
  </si>
  <si>
    <t>ESTABLECIMIENTO PÚBLICO AMBIENTAL EPA</t>
  </si>
  <si>
    <t>Plantas para la revalorización de residuos en zonas de tratamiento integral implementadas</t>
  </si>
  <si>
    <t xml:space="preserve">SECRETARÍA GENERAL (SERVICIOS PÚBLICOS) - SECRETARÍA DE HACIENDA
</t>
  </si>
  <si>
    <t>Número de proyectos específicos de economía circular implementados con el apoyo de Cooperantes</t>
  </si>
  <si>
    <t>Número de investigaciones desarrolladas para evaluar y redefinir las apuestas productivas de la ciudad en el marco de las tendencias futuras de la economía mundial</t>
  </si>
  <si>
    <t>Número de estudios sobre mercado laboral y pertinencia educativas elaborados</t>
  </si>
  <si>
    <t>Fondo para la reconversión productiva destinada a emprendimientos de pequeñas y medianas empresas creada</t>
  </si>
  <si>
    <t>Estrategia de encadenamientos productivos a nivel intersectorial e intrasectorial entre las grandes, medianas y pequeñas empresas</t>
  </si>
  <si>
    <t>Centros de Formación para el Empleo con Enfoque en Ciencia, Tecnología, Innovación y Bilingüismo creados y en funcionamiento</t>
  </si>
  <si>
    <t>SECRETARÍA DE EDUCACIÓN</t>
  </si>
  <si>
    <t>Jóvenes (mujeres, grupos étnicos y víctimas) vinculados a estrategias de formación relacionadas a la innovación y la Cuarta Revolución Industrial</t>
  </si>
  <si>
    <t>Estrategias de acceso a oportunidades del mercado laboral (trabajo formal y formalización del trabajo informal) implementadas</t>
  </si>
  <si>
    <t>Cooperativas creadas que vinculen a las Organizaciones Comunales y de víctimas del conflicto en el desarrollo de oportunidades del mercado laboral</t>
  </si>
  <si>
    <t>Personas vinculadas a rutas de empleo y capital humano</t>
  </si>
  <si>
    <t>Número de estudiantes vinculados en la administración distrital, a través de la realización de las prácticas laborales</t>
  </si>
  <si>
    <t>Número de jóvenes graduados sin experiencia laboral vinculados a la administración distrital</t>
  </si>
  <si>
    <t>Número de mujeres cualificadas para la inserción laboral</t>
  </si>
  <si>
    <t>Rutas de emprendimiento implementadas</t>
  </si>
  <si>
    <t>Planes de comercialización y visibilización de productos de emprendedores ejecutados</t>
  </si>
  <si>
    <t>Estrategias de acompañamiento a emprendimientos y Mipymes para acceso a mecanismos de financiación elaboradas</t>
  </si>
  <si>
    <t>Emprendedores intervenidos con capacidades para emprender fortalecidas</t>
  </si>
  <si>
    <t>Estrategias de proveeduría de sectores administrados por el Distrito que vincule la participación de emprendimientos, negocios y/o proyectos productivos liderado por mujeres diseñada y ejecutada</t>
  </si>
  <si>
    <t>SECRETARÍA DE HACIENDA - SECRETARÍA DE PARTICIPACIÓN Y DESARROLLO SOCIAL</t>
  </si>
  <si>
    <t xml:space="preserve">Número de estrategias para promover el ecosistema de emprendimiento e innovación implementada
</t>
  </si>
  <si>
    <t>Microcentros de Inteligencia Artificial creados</t>
  </si>
  <si>
    <t>SECRETARÍA GENERAL - OFICINA DE INFORMATICA</t>
  </si>
  <si>
    <t>Caracterización socio empresarial de familias vulnerables atendidas en el Distrito</t>
  </si>
  <si>
    <t>Personas vulnerables Formadas y con fortalecimiento productivo</t>
  </si>
  <si>
    <t>Número de ferias de emprendimientos desarrolladas anualmente en el Distrito</t>
  </si>
  <si>
    <t>Número de emprendimientos, negocios y/o proyectos productivos liderados por mujeres financiados y formalizados</t>
  </si>
  <si>
    <t>Jóvenes formados en emprendimientos e inclusión productiva.</t>
  </si>
  <si>
    <t>Emprendimientos juveniles apoyados financieramente</t>
  </si>
  <si>
    <t>Jóvenes formados y certificados para la vinculación e inserción en el mercado laboral</t>
  </si>
  <si>
    <t>Espacios o acciones de promoción para la vinculación laboral de jóvenes al trabajo formal y promoción del primer empleo</t>
  </si>
  <si>
    <t>Número de vendedores formalizados con emprendimiento y creación de pequeña empresa</t>
  </si>
  <si>
    <t>GEPM - SECRETARÍA DE HACIENDA</t>
  </si>
  <si>
    <t>Mobiliario urbano para el emprendimiento económico diseñado</t>
  </si>
  <si>
    <t>Docuemntos de lineamientos para el manejo del sector turismo elaborados</t>
  </si>
  <si>
    <t>SECRETARÍA DE TURISMO</t>
  </si>
  <si>
    <t>Centro de Atención al Turista en funcionamiento en el Distrito de Cartagena de Indias (zona insular y urbana)</t>
  </si>
  <si>
    <t>Equipamientos para brigadistas y guardavidas del Distrito entregados</t>
  </si>
  <si>
    <t>Número de personas líderes y autoridades turísticas vinculadas a procesos de formación</t>
  </si>
  <si>
    <t>Número de personas vinculadas a procesos de formación formal e informal asuntos turísticos</t>
  </si>
  <si>
    <t>Número de personas vinculadas con oportunidades de acceso a rutas de empleo y capital humano enfocado en turismo sostenible</t>
  </si>
  <si>
    <t>Rutas comunitarias creadas e implementadas (rutas eco-ambientales, gastronómicas, culturales, turísticas, entre otras)</t>
  </si>
  <si>
    <t>Número de personas vinculadas a asistencia técnica para el fortalecimiento de la actividad artesanal</t>
  </si>
  <si>
    <t>Activos productivos entregados a los prestadores de servicios turísticos</t>
  </si>
  <si>
    <t>SECRETARÍA DE TURISMO - SECRETARÍA DE HACIENDA</t>
  </si>
  <si>
    <t>Número de atractivos turísticos con implementación de acciones de sostenibilidad ambiental</t>
  </si>
  <si>
    <t>Número de proyectos cofinanciados para la actividad turística</t>
  </si>
  <si>
    <t>Número de certificaciones de destino turístico sostenible obtenidas</t>
  </si>
  <si>
    <t>Portal Único de Información Turística sobre la Oferta Turística creado</t>
  </si>
  <si>
    <t>Tecnologia de destino turistica inteligente creada e implementada</t>
  </si>
  <si>
    <t>Alianzas con universidades para la formacion y profesionalizacion de actores turisticos implementado</t>
  </si>
  <si>
    <t>Número de eventos turísticos náuticos promovidos y desarrollados en la zona insular y urbana del Distrito</t>
  </si>
  <si>
    <t>Campañas de divulgación para la promoción y conectividad</t>
  </si>
  <si>
    <t>CORPOTURISMO - SECRETARÍA DE TURISMO</t>
  </si>
  <si>
    <t>Eventos especializados con participación del Distrito</t>
  </si>
  <si>
    <t>Productos turísticos desarrollados</t>
  </si>
  <si>
    <t>Eventos de ciudad con impacto nacional e internacional implementados en Cartagena</t>
  </si>
  <si>
    <t xml:space="preserve">Infraestructura turística dotada, adecuada, mejorada, mantenida y/o construida (infraestructura marino costera, embarcaderos)
</t>
  </si>
  <si>
    <t>SECRETARÍA DE INFRAESTRUCTURA - SECRETARÍA DE TURISMO</t>
  </si>
  <si>
    <t>Estudios de preinversión para proyectos turísticos elaborados</t>
  </si>
  <si>
    <t>Número de señalizaciones turísticas instaladas, (incluye playas y espacios turísticos que lo requieran)</t>
  </si>
  <si>
    <t>Acciones de mantenimiento infraestructuras turística para prestar servicios de vigilancia, control y seguridad a los turistas implementadas</t>
  </si>
  <si>
    <t>Entidad para el desarrollo y sostenibilidad turística consolidada</t>
  </si>
  <si>
    <t>Observatorio de Turismo creado</t>
  </si>
  <si>
    <t>Documentos de Planificación de Ordenamiento de Playas elaborado</t>
  </si>
  <si>
    <t>Número de procesos productivos de agricultura campesina familiar y comunitaria desarrollados</t>
  </si>
  <si>
    <t>UMATA</t>
  </si>
  <si>
    <t>Número de mujeres rurales atendidas con servicios de extensión agropecuaria</t>
  </si>
  <si>
    <t>Número de mujeres afros rurales atendidas con servicios de extensión agropecuaria</t>
  </si>
  <si>
    <t>Número de mujeres indígena atendidas en las actividades propias</t>
  </si>
  <si>
    <t>Número de circuitos cortos de comercialización implementados (mercados campesinos, ferias de negocios, HORECA, Mercado Virtual)</t>
  </si>
  <si>
    <t>Número de Planes de Extensión Agropecuaria del Distrito formulados y/o ejecutados</t>
  </si>
  <si>
    <t>Número de productores atendidos con servicios de extensión agropecuaria</t>
  </si>
  <si>
    <t>Número de encadenamientos y/o cadenas productivas para garantizar el derecho humano a la alimentación priorizadas, consolidadas y en funcionamiento</t>
  </si>
  <si>
    <t>Número de organizaciones de pescadores (pertenecientes a grupos étnicos) dotadas</t>
  </si>
  <si>
    <t>Número de procesos productivos en producción, reproducción y mejoramiento genético (bovina y/o especies menores) formulados y/o ejecutados</t>
  </si>
  <si>
    <t>Número de procesos asociativos para fortalecer las capacidades y competencias agropecuarias creados</t>
  </si>
  <si>
    <t>Número de emprendimientos rurales orientados a la generación de valor agregado asistido</t>
  </si>
  <si>
    <t>Número de alianzas y/o convenios interadministrativos para la dotación de infraestructura física y/o activos productivos de carácter público implementadas</t>
  </si>
  <si>
    <t>SECRETARÍA DE INFRAESTRUCTURA - CORVIVIENDA - UMATA</t>
  </si>
  <si>
    <t>Número de soluciones alternativas de fuentes de agua en zonas de producción agrícolas para mitigar el cambio climático implementadas</t>
  </si>
  <si>
    <t>SECRETARÍA DE INFRAESTRUCTURA - UMATA</t>
  </si>
  <si>
    <t>PROGRAMA: CARTAGENA CIUDAD DE PESCADORES</t>
  </si>
  <si>
    <t>Proyectos de maricultura implementados y formulados</t>
  </si>
  <si>
    <t>Acciones para el fortalecimiento de la mujer en el ejercicio de la pesca desarrolladas</t>
  </si>
  <si>
    <t>Centro de Acopio Integral creado</t>
  </si>
  <si>
    <t>Escuelas de pescadores de saberes ancestrales creadas</t>
  </si>
  <si>
    <t>Número de pruebas bromatológicas en los peces de la Bahía de Cartagena</t>
  </si>
  <si>
    <t>Número de pruebas ambientales en los peces de la Bahía de Cartagena</t>
  </si>
  <si>
    <t>EPA</t>
  </si>
  <si>
    <t>Fases del proceso de traslado del Mercado de Bazurto al nuevo sistema de mercados implementadas</t>
  </si>
  <si>
    <t>SECRETARÍA GENERAL - SECRETARÍA DE INFRAESTRUCTURA - DATT</t>
  </si>
  <si>
    <t>Número de Ocupantes del Espacio Público (O.E.P.) que fueron reubicados en zonas al interior del mercado formalizados (tramo 5A Transcaribe y otros)</t>
  </si>
  <si>
    <t>GEPM</t>
  </si>
  <si>
    <t>Número de Ocupantes del Espacio Público (O.E.P.) de zonas no intervenidas en el mercado de Bazurto pendientes por formalizar en mercados sectoriales</t>
  </si>
  <si>
    <t>Documentos normativos que rigen la operación de la plaza de mercados actualizados</t>
  </si>
  <si>
    <t>Plan de Gestión Sostenible del Sistema de Mercados del Distrito implementado</t>
  </si>
  <si>
    <t>Metros cuadrados de infraestructura de las plazas de mercado que conforman el Sistema Integral de Abastecimiento del Distrito intervenidos o mantenidos</t>
  </si>
  <si>
    <t>Plan de Ordenamiento Territorial revisado, actualizado, ajustado y presentado ante el Concejo para su adopción</t>
  </si>
  <si>
    <t>Plan Especial de Manejo y Protección del Centro Histórico y su área de influencia revisado, actualizado, ajustado y presentado ante el Ministerio de Cultura para su adopción</t>
  </si>
  <si>
    <t>Actuación Urbana Integral A.U.I – 12 / Recuperación Integral del Cerro de la Popa formulada</t>
  </si>
  <si>
    <t>SECRETARÍA DE PLANEACIÓN – GERENCIA DE ESPACIO PÚBLICO Y MOVILIDAD</t>
  </si>
  <si>
    <t>Actuación Urbana Integral A.U.I – 13 / Recuperación Integral del Cerro de Albornoz - Cospique formulada</t>
  </si>
  <si>
    <t>Nueva Actuación Urbana Integral Reordenamiento de los asentamientos de Nelson Mandela y Villa Hermosa formulada</t>
  </si>
  <si>
    <t>Planes Maestros de equipamientos formulado</t>
  </si>
  <si>
    <t>Plan Local Portuario formulado</t>
  </si>
  <si>
    <t>Plan Parcial de Renovación Urbana de Bazurto reformulado, adoptado y con seguimiento</t>
  </si>
  <si>
    <t>Planes Parciales en suelo de expansión de los Centros Poblados de Bayunca y Pasacaballos adoptados</t>
  </si>
  <si>
    <t>Plan Parcial de Reordenamiento de los Asentamientos de la Zona Industrial de Mamonal: Policarpa, Arroz Barato y Puerta de Hierro reformulado, adoptado y con seguimiento</t>
  </si>
  <si>
    <t>Plan Parcial de Reordenamiento de La Loma, Zaragocilla y Marión reformulado, adoptado y con seguimiento</t>
  </si>
  <si>
    <t>SECRETARÍA DE PLANEACIÓN - CORVIVIENDA</t>
  </si>
  <si>
    <t>Proyectos de legalización urbanística tramitados</t>
  </si>
  <si>
    <t>Plan Estratégico para el traslado de Marlinda y Villa Gloria diseñado y ejecutado</t>
  </si>
  <si>
    <t>Planes de Mejoramiento Integral de los Centros Poblados de los corregimientos continentales formulados y ejecutados</t>
  </si>
  <si>
    <t>Lineamientos técnicos y pedagógicos para garantizar el derecho a la ciudad de niñas y mujeres en el entorno urbano diseñados</t>
  </si>
  <si>
    <t>Plan Estratégico Prospectivo Cartagena 2050 formulado</t>
  </si>
  <si>
    <t>Metros cuadrados de espacios públicos recuperados y mantenidos</t>
  </si>
  <si>
    <t>GERENCIA DE ESPACIO PÚBLICO Y MOVILIDAD</t>
  </si>
  <si>
    <t>Metros cuadrados de espacio público habilitados para aprovechamiento económic</t>
  </si>
  <si>
    <t>Número de querellas presentadas para la recuperación del espacio público</t>
  </si>
  <si>
    <t>Política Pública de Legalización de Asentamientos Humanos y del Control Urbano formulada</t>
  </si>
  <si>
    <t>Documentos de planeación para la implementación la curaduría pública y de nuevas curadurías urbanas formulados</t>
  </si>
  <si>
    <t>Estudio para dar viabilidad para la creación de nuevas curadurías urbanas formulado</t>
  </si>
  <si>
    <t>Obras de demoliciones derivadas de fallos, sentencias y sanciones elaboradas</t>
  </si>
  <si>
    <t>SECRETARÍA DE INFRAESTRUCTURA</t>
  </si>
  <si>
    <t>Equipo de reacción inmediata para reducción, intervención y control de invasiones ilegales conformado</t>
  </si>
  <si>
    <t>Defensores Urbanos Barriales para la cultura urbanística certificados</t>
  </si>
  <si>
    <t>Inspecciones de Policía especializadas en temas urbanísticos</t>
  </si>
  <si>
    <t>Documentos normativos realizados</t>
  </si>
  <si>
    <t>Número de actividades desarrolladas por año para promover la protección y bienestar animal en sectores turísticos de la ciudad</t>
  </si>
  <si>
    <t>Número total de animales atendidos por año en las jornadas de salud, prevención y protección animal</t>
  </si>
  <si>
    <t>Número de protocolos estandarizados para la atención a animales domésticos y silvestres</t>
  </si>
  <si>
    <t>Número de animales domésticos censados</t>
  </si>
  <si>
    <t>Número de módulos o aplicativos funcionales de software integrados en una plataforma web de acceso abierto.</t>
  </si>
  <si>
    <t>Centro de Bienestar Animal del Distrito creado y en operación</t>
  </si>
  <si>
    <t>UMATA - DADIS</t>
  </si>
  <si>
    <t>Número de unidades móviles de atención veterinaria dotadas</t>
  </si>
  <si>
    <t>UMATA - EPA</t>
  </si>
  <si>
    <t>Árboles plantados en la ciudad</t>
  </si>
  <si>
    <t>Áreas degradadas en proceso de restauración</t>
  </si>
  <si>
    <t>Centro de Atención y Valoración de fauna silvestre construido y dotado</t>
  </si>
  <si>
    <t>Sistemas de información implementados para el Centro Inteligente de Monitoreo Ambiental de Cartagena</t>
  </si>
  <si>
    <t>Estaciones para el monitoreo de la calidad del aire implementadas</t>
  </si>
  <si>
    <t>Estrategias de educación ambiental implementadas</t>
  </si>
  <si>
    <t>Documentos de investigación ambiental realizados</t>
  </si>
  <si>
    <t>Política Pública de Educación Ambiental formulada</t>
  </si>
  <si>
    <t>Metros lineales de senderos peatonales diseñados</t>
  </si>
  <si>
    <t>Megaproyectos de parques con criterios de adaptación al cambio climático diseñados y construidos</t>
  </si>
  <si>
    <t>Documentos de lineamientos técnicos para la conservación de la biodiversidad y sus servicios ecosistémicos elaborados</t>
  </si>
  <si>
    <t>Plan 4C: Cartagena Competitiva y Compatible con el Clima actualizado</t>
  </si>
  <si>
    <t>Plan Distrital de Gestión de Riesgo actualizado y adoptado</t>
  </si>
  <si>
    <t>OFICINA ASESORA PARA LA GESTIÓN DE RIESGO DE DESASTRE</t>
  </si>
  <si>
    <t>Sistema de información de conocimiento del riesgo actualizado</t>
  </si>
  <si>
    <t>Inventarios de asentamientos en zonas de alto riesgo elaborados</t>
  </si>
  <si>
    <t>Sistema de comunicación de gestión del riesgo implementado</t>
  </si>
  <si>
    <t>Número de acciones para mitigación y atención a desastres coordinadas</t>
  </si>
  <si>
    <t>Número de organizaciones comunitarias capacitadas en prevención y gestión de los riesgos</t>
  </si>
  <si>
    <t>Número de Acciones de protección de laderas para reducción del riesgo en cerros de Cartagena</t>
  </si>
  <si>
    <t>Estrategia de respuestas a emergencias actualizada, formulada y adoptada </t>
  </si>
  <si>
    <t>Emergencias de riesgo atendidas</t>
  </si>
  <si>
    <t>Número de beneficios económicos a las familias afectadas en los distintos eventos entregados</t>
  </si>
  <si>
    <t>Número de kilómetros de construcción de protección costera.</t>
  </si>
  <si>
    <t>VALORIZACIÓN</t>
  </si>
  <si>
    <t>Plan Integral de Parques y Zonas Verdes formulado e implementado</t>
  </si>
  <si>
    <t>Orillas mejoradas para uso recreativo en caños, lagos y lagunas</t>
  </si>
  <si>
    <t>Plan Especial de Movilidad y Peatonalización del Centro Histórico formulado e implementado</t>
  </si>
  <si>
    <t>GERENCIA DE ESPACIO PÚBLICO Y MOVILIDAD - DATT- SECRETARÍAS DE INFRAESTRUCTURA</t>
  </si>
  <si>
    <t>Metros lineales de andenes y bordillos del Centro Histórico mejorados</t>
  </si>
  <si>
    <t>Plazas, parques y plazoletas del Centro Histórico mejorada</t>
  </si>
  <si>
    <t>Estudio de Capacidad de Carga del Espacio Público Patrimonial elaborado</t>
  </si>
  <si>
    <t>GERENCIA DE ESPACIO PÚBLICO Y MOVILIDAD - IPCC</t>
  </si>
  <si>
    <t>Estudio de las nuevas Tipologías Arquitectónicas del Centro Histórico elaborado</t>
  </si>
  <si>
    <t>SECRETARÍA DE PLANEACIÓN - IPCC</t>
  </si>
  <si>
    <t>Cartilla del Espacio Público Patrimonial elaborada</t>
  </si>
  <si>
    <t>GERENCIA DE ESPACIO PÚBLICO Y MOVILIDAD - DATT- SECRETARÍA DE PLANEACIÓN - ESCUELA TALLER ETCAR</t>
  </si>
  <si>
    <t>Número de parques del Centro Histórico recuperados y mejorados</t>
  </si>
  <si>
    <t>SECRETARÍA GENERAL - DIRECCIÓN ADMINISTRATIVA DE APOYO LOGISTICO</t>
  </si>
  <si>
    <t>Espacios públicos rehabilitados que comunican el Centro Histórico y Castillo de San Felipe</t>
  </si>
  <si>
    <t xml:space="preserve">ESCUELA TALLER CARTAGENA DE INDIAS - GERENCIA DE ESPACIO PÚBLICO Y MOVILIDAD - SECRETARÍA DE INFRAESTRUCTURA
</t>
  </si>
  <si>
    <t>Número de zonas del espacio público adecuadas para la recreación y el deporte en el paisaje fortificado</t>
  </si>
  <si>
    <t>Enlaces peatonales de cordón amurallado construidos</t>
  </si>
  <si>
    <t>ESCUELA TALLER CARTAGENA DE INDIAS - GERENCIA DE ESPACIO PÚBLICO Y MOVILIDAD - SECRETARÍA DE INFRAESTRUCTURA</t>
  </si>
  <si>
    <t>Número de actividades de para la apropiación colectiva del patrimonio y la gobernanza territorial desarrolladas</t>
  </si>
  <si>
    <t xml:space="preserve">ESCUELA TALLER CARTAGENA DE INDIAS (ETCAR)
</t>
  </si>
  <si>
    <t>PROGRAMA: INTERVENCIONES URBANAS INTEGRALES</t>
  </si>
  <si>
    <t>Obras construidas para la competitividad diferente a vías</t>
  </si>
  <si>
    <t>PROGRAMA: REHABILITACIÓN, MANTENIMIENTO, ADECUACIÓN, Y OBRA NUEVA PARA EL SISTEMA VIAL Y ESTRUCTURAS DE PASO</t>
  </si>
  <si>
    <t>Kilómetros carriles  rehabilitados de la malla vial</t>
  </si>
  <si>
    <t>Kilómetros carriles  construidos de la malla vial</t>
  </si>
  <si>
    <t>Puentes nuevos construidos en la ciudad</t>
  </si>
  <si>
    <t>Corredor vial de la troncal del sur construido</t>
  </si>
  <si>
    <t>Número de kilómetros de construcción de vías Urbanas por contribución de valorización.</t>
  </si>
  <si>
    <t>Número de kilómetros de construcción de vías rurales</t>
  </si>
  <si>
    <t>Número de metros cuadrados de andenes construidos</t>
  </si>
  <si>
    <t>Señales verticales instaladas</t>
  </si>
  <si>
    <t>Marcas longitudinales demarcadas</t>
  </si>
  <si>
    <t>Kilómetros de ciclorutas diseñadas y demarcadas</t>
  </si>
  <si>
    <t>Red semafórica ampliada</t>
  </si>
  <si>
    <t>Rutas del Transporte Público Colectivo actualizadas y normalizadas</t>
  </si>
  <si>
    <t>Estaciones satélites de transporte informal erradicadas</t>
  </si>
  <si>
    <t>Puntos críticos intervenidos</t>
  </si>
  <si>
    <t>Zonas de Estacionamiento Regulado (ZER) diseñados y demarcados</t>
  </si>
  <si>
    <t>Vehículos de tracción animal dedicados al transporte de cargas livianas sustituidos</t>
  </si>
  <si>
    <t>Vehículos de tracción animal dedicados al servicio turístico sustituidos</t>
  </si>
  <si>
    <t>Caracterización socioeconómica de mototrabajadores elaborada</t>
  </si>
  <si>
    <t>Estaciones Renovadas</t>
  </si>
  <si>
    <t>TRANSCARIBE</t>
  </si>
  <si>
    <t>Patio Portal Renovado</t>
  </si>
  <si>
    <t>Carril de solobus renovado</t>
  </si>
  <si>
    <t>Servicio de seguridad ciudadana implementado en el SITM</t>
  </si>
  <si>
    <t>Paraderos Renovados</t>
  </si>
  <si>
    <t>Modernización de los servicios conexos al sistema de recaudo, gestión de flota, información al usuario</t>
  </si>
  <si>
    <t>Estrategias para la promoción de la cultura ciudadana y el uso del sistema</t>
  </si>
  <si>
    <t>Estudios técnicos para la evaluación de operación diseñados</t>
  </si>
  <si>
    <t>TRANSCARIBE - SECRETARÍA DE INFRAESTRUCTURA</t>
  </si>
  <si>
    <t>Fases de ejecución del proyecto de transporte acuático</t>
  </si>
  <si>
    <t>SECRETARÍA DE INFRAESTRUCTURA - TRANSCARIBE</t>
  </si>
  <si>
    <t>Embarcaderos para el transporte acuático construidos o recuperados</t>
  </si>
  <si>
    <t>Estudio para la implementación de la tarifa diferencial en el Sistema</t>
  </si>
  <si>
    <t>Estrategia para la lucha contra el acoso en el Sistema Integrado de Transporte Masivo implementada</t>
  </si>
  <si>
    <t>Pasajeros movilizados</t>
  </si>
  <si>
    <t>Número de hectáreas de manglar en proceso de recuperación</t>
  </si>
  <si>
    <t>Metros cúbicos extraídos mediante relimpia realizada en cuerpos de agua internos en el perímetro urbano de Cartagena</t>
  </si>
  <si>
    <t>EPA - EDURBE</t>
  </si>
  <si>
    <t>Estudios de prefactibilidad para la implementación de laboratorio interactivo</t>
  </si>
  <si>
    <t>Kilómetros diseño de canales </t>
  </si>
  <si>
    <t>VALORIZACIÓN - SECRETARÍA DE INFRAESTRUCTURA</t>
  </si>
  <si>
    <t>Kilómetros canales construidos.</t>
  </si>
  <si>
    <t>Metros cúbicos limpieza y/o rectificación de canales.</t>
  </si>
  <si>
    <t>Kilómetros recuperados de bordes de costa de cuerpos de agua</t>
  </si>
  <si>
    <t>Documento de acotamiento y priorización de ronda hídrica elaborado</t>
  </si>
  <si>
    <t>Rondas hídricas priorizadas a través del documento de acotamiento recuperadas</t>
  </si>
  <si>
    <t>Plan Parcial de Chambacú, Torices, La Unión formulado, adoptado y con seguimiento</t>
  </si>
  <si>
    <t>Plan Maestro de Caños, Lagunas y Ciénagas interiores de la ciudad y la Bahía de Cartagen</t>
  </si>
  <si>
    <t>Número de afluentes principales que derivan en la Ciénaga de la Virgen recuperadas</t>
  </si>
  <si>
    <t>EPA </t>
  </si>
  <si>
    <t>Campañas de educación ambiental y participación implementadas a los ciudadanos aledaños a la Ciénaga de la Virgen, sobre la conservación y protección del espacio verde</t>
  </si>
  <si>
    <t>Proyectos para el mejoramiento de la calidad del recurso hídrico formulados en Sistema Estabilizadora de Mareas desarrollados</t>
  </si>
  <si>
    <t>Plan de Gestión Social y Ambiental de la Ciénaga de la Virgen formulado e implementado</t>
  </si>
  <si>
    <t>Estudios y diseños actualizados red urbana formulados</t>
  </si>
  <si>
    <t>Planes Parciales de Renovación Urbana adoptados</t>
  </si>
  <si>
    <t>Plan de Mejoramiento Integral de la Boquilla formulado</t>
  </si>
  <si>
    <t>Estudios detallados de amenaza y riesgo para territorios delimitados en Planes Parciales elaborados</t>
  </si>
  <si>
    <t>Operación Territorial – O.T-5 / Frente Costero y Protección formulada</t>
  </si>
  <si>
    <t>Operación Territorial – O.T-6 / Bahía de Cartagena – Canal del Dique formulada</t>
  </si>
  <si>
    <t>Operación Territorial – O.T-12 / Zona Insular formulada</t>
  </si>
  <si>
    <t>Planes de Mejoramiento Integral de los Centros Poblados insulares formulados y ejecutados</t>
  </si>
  <si>
    <t>Cartilla de Tipologías de Vivienda Insular o Costera adaptada a los eventos de cambio climático diseñada</t>
  </si>
  <si>
    <t>Proyectos estratégicos para el mantenimiento de los cuerpos de agua de la ciudad implementados</t>
  </si>
  <si>
    <t>Proyectos estratégicos para el mantenimiento de los cuerpos de agua de la ciudad formulados en fase de prefactibilidad</t>
  </si>
  <si>
    <t>Estudio de clúster para la competitividad regional elaborado</t>
  </si>
  <si>
    <t>Iniciativa regional de infraestructura de transporte y conectividad para la productividad</t>
  </si>
  <si>
    <t>Servicio de protección del recurso hídrico</t>
  </si>
  <si>
    <t>Trámites y otros procedimientos administrativos racionalizados</t>
  </si>
  <si>
    <t>Centro Integral Ciudadano creado</t>
  </si>
  <si>
    <t>Ventanillas de atención al ciudadano optimizadas en su funcionamiento</t>
  </si>
  <si>
    <t>Estrategias para responder a transparencia activa y pasiva, los instrumentos de gestión de la información con criterios de accesibilidad</t>
  </si>
  <si>
    <t>Número de rendiciones de cuentas desarrolladas</t>
  </si>
  <si>
    <t>SECRETARÍA GENERAL - SECRETARÍA DE PLANEACIÓN</t>
  </si>
  <si>
    <t>Personas formadas en uso de Tecnologías de Información y Comunicaciones (TIC)</t>
  </si>
  <si>
    <t xml:space="preserve">OFICINA ASESORA DE INFORMATICA - ESCUELA DE GOBIERNO Y LIDERAZGO
</t>
  </si>
  <si>
    <t>Sistemas de información institucionales actualizados</t>
  </si>
  <si>
    <t>OFICINA ASESORA DE INFORMATICA</t>
  </si>
  <si>
    <t>Sistemas de información institucionales nuevos implementados</t>
  </si>
  <si>
    <t>Número de zonas wifi-gratuitas instaladas y mantenidas</t>
  </si>
  <si>
    <t>Estrategia para la simplificación de procesos en el Distrito implementada</t>
  </si>
  <si>
    <t>Estrategia para la gestión del conocimiento y la innovación creada e implementada</t>
  </si>
  <si>
    <t>SECRETARÍA GENERAL Dirección Administrativa de Talento Humano</t>
  </si>
  <si>
    <t>Herramientas Tecnológicas para el uso, apropiación y fortalecimiento institucional implementadas</t>
  </si>
  <si>
    <t>Documentos de diagnóstico e implementación del Modelo Integrado de Planeación y Gestión – MIPG implementado</t>
  </si>
  <si>
    <t>Agenda regulatoria anual elaborada e implementada</t>
  </si>
  <si>
    <t>Procesos de depuración normativa distrital implementados</t>
  </si>
  <si>
    <t>Número de predios del inventario de bienes inmuebles del Distrito actualizados</t>
  </si>
  <si>
    <t>SECRETARÍA GENERAL Dirección Administrativa de Apoyo Logístico</t>
  </si>
  <si>
    <t>intervenciones a los bienes inmuebles y predios del Distrito</t>
  </si>
  <si>
    <t>Inventario de bienes muebles actualizado</t>
  </si>
  <si>
    <t>Fases del proceso de rediseño institucional implementadas</t>
  </si>
  <si>
    <t>Plan Estratégico Tratamiento de Riesgo de Seguridad y Privacidad de la información implementado</t>
  </si>
  <si>
    <t>Plan Estratégico de Seguridad y Privacidad de la información implementado</t>
  </si>
  <si>
    <t>Cloud Data Center implementado en el Distrito</t>
  </si>
  <si>
    <t>Servicios de gestión documental implementados</t>
  </si>
  <si>
    <t>Servicio de sistemas de gestión implementado</t>
  </si>
  <si>
    <t>Sistema de Gestión de Archivos Electrónicos – SGDEA implementado en cinco fases</t>
  </si>
  <si>
    <t>Plan de Formación sobre el Sistema de Control Interno y Control Interno Contable diseñado e implementado</t>
  </si>
  <si>
    <t>Software de Auditoría Basada en Riesgos para procesos y sistemas de información implementado</t>
  </si>
  <si>
    <t>Sedes del DATT dotadas con logística para mejorar la gestión administrativa y operativa en la prestación del servicio</t>
  </si>
  <si>
    <t>Portafolio virtual para oferta de trámites y servicios diseñado</t>
  </si>
  <si>
    <t>Cartera el DATT recuperada</t>
  </si>
  <si>
    <t>Puntos de la ciudad con sistema de monitoreo, control y fiscalización electrónica del tránsito instalados</t>
  </si>
  <si>
    <t>Impuesto Predial Unificado recaudado</t>
  </si>
  <si>
    <t>Impuesto Industria, Comercio y complementarios recaudado</t>
  </si>
  <si>
    <t>Impuesto delineación urbana recaudado</t>
  </si>
  <si>
    <t>Sobretasa a la gasolina recaudado</t>
  </si>
  <si>
    <t>Estrategias de fortalecimiento tributario en el Distrito diseñadas e implementadas</t>
  </si>
  <si>
    <t>Proyecto de modernización de la Secretaría de Hacienda implementado</t>
  </si>
  <si>
    <t>Número de servidores públicos y contratistas del Distrito formados y cualificados en enfoques diferenciales</t>
  </si>
  <si>
    <t>ESCUELA DE GOBIERNO Y LIDERAZGO</t>
  </si>
  <si>
    <t>Número de estrategias de formación en cultura tributarias dirigidas servidores públicos y contratistas del distrito creadas e implementadas</t>
  </si>
  <si>
    <t>Número de procesos de formación a ciudadanos desarrollados</t>
  </si>
  <si>
    <t>Número de procesos de formación a ciudadanos pertenecientes a grupos étnicos desarrollados</t>
  </si>
  <si>
    <t>Número de mesas de planeación y participación elaboradas con personas de los distintos grupos de población con enfoque inclusivo, diferencial y territorial</t>
  </si>
  <si>
    <t>Número de procesos de formación a ciudadanos con enfoque inclusivo, diferencial y territorial desarrollados</t>
  </si>
  <si>
    <t>Número de estrategias pedagógicas implementadas para promover el orgullo y el sentido de pertenencia por la ciudad</t>
  </si>
  <si>
    <t>Numero de iniciativas de cultura ciudadana implementadas</t>
  </si>
  <si>
    <t>Número de estrategias pedagógicas implementadas para fortalecer la cultura vial y el adecuado uso del Sistema Integardo de Transoporte Masivo</t>
  </si>
  <si>
    <t>Numero de estrategias de promocion de practicas para el cuidado y el desarrollo integral del ser humano implementadas</t>
  </si>
  <si>
    <t>Numero de estartegias para fomentar el respeto y la prevencion del maltrato contra la mujer implementadas</t>
  </si>
  <si>
    <t>Número de mesas de gobernanza elaboradas para el seguimiento a indicadores de ciudad</t>
  </si>
  <si>
    <t>Número de procesos de formación en gobernanza e innovación pública desarrollados</t>
  </si>
  <si>
    <t>Número de organismos de acción comunal asesoradas y acompañados para el trámite exitoso de su Registro Único Tributario (RUT) ante la DIAN</t>
  </si>
  <si>
    <t>Instituto Distrital de Acción Comunal</t>
  </si>
  <si>
    <t>Numero de organismos de accion comunal asesorados y acompañados para eñ tramite exitoso de su registro unico comunal (RUC) ante el Ministerio del Interior</t>
  </si>
  <si>
    <t>Numero de organismos de accion comunal asesorados y acompañados en procesos de actualizacion estatutaria</t>
  </si>
  <si>
    <t>Guia Metodologica para la formulacion de planes de desarrollo estrategicos comunales PDEC creada e implementada</t>
  </si>
  <si>
    <t>Ruta para garantizar la proteccion y acompañamiento de lideres y lideresas sociales, dignatarios y/o afiliados a organismos comunales de la ciudad en situacion de riesgo diseñada</t>
  </si>
  <si>
    <t>Plataforma web de seguimiento a procesos y procedimientos de organismos comunales y organinazciones sociales de base creada y en funcionamiento</t>
  </si>
  <si>
    <t>Numero de obras de interes comunitarias con organismos de acción comunal financiadas a través de convenios solidarios</t>
  </si>
  <si>
    <t>Número de sedes de organismos comunales dotadas y/o adecuadas</t>
  </si>
  <si>
    <t>Sedes de organismos comunales construidas</t>
  </si>
  <si>
    <t>Banco de proyectos de iniciativa comunal y comunitaria creado</t>
  </si>
  <si>
    <t>Número de acciones de cambio y transformación del entorno desarrolladas con organismos de acción comunal y la cuadrilla comunal en los barrios de la ciudad</t>
  </si>
  <si>
    <t>Número de fondos de financiamiento y apalancamiento para la ejecución de iniciativas y proyectos de organizaciones comunales, comunitarias y/o sociales de base creados</t>
  </si>
  <si>
    <t>Cantidad de recursos para presupuestos participativos invertidos</t>
  </si>
  <si>
    <t>SECRETARÍA DEL INTERIOR Instituto Distrital de Acción Comunal</t>
  </si>
  <si>
    <t>Número de ciudadanos participando en la construcción de instrumentos de gestión y de políticas públicas.</t>
  </si>
  <si>
    <t>Campañas para la promoción de la participación ciudadana creadas</t>
  </si>
  <si>
    <t>Número de encuentros comunales y/o comunitarios de intercambio de experiencias, construcción de ciudad y promoción de la participación ciudadana desarrollados</t>
  </si>
  <si>
    <t>Número de afiliados y afiliadas a organismos comunales del Distrito certificados bajo la metodología del programa Formador de Formadores para la Acción Comunal</t>
  </si>
  <si>
    <t>Número de voluntariados juveniles distritales conformados</t>
  </si>
  <si>
    <t>Número de escuelas de formación en liderazgo juvenil</t>
  </si>
  <si>
    <t>Número de jóvenes vinculados en programas de formación sociopolítica y habilidades para la vida</t>
  </si>
  <si>
    <t>Programas para el fortalecimiento de los derechos de la Juventud implementado</t>
  </si>
  <si>
    <t>Consejo Distrital de Juventud y Plataforma de Juventudes acompañados</t>
  </si>
  <si>
    <t>Mecanismo de promoción de la participación política y organización de las mujeres creado</t>
  </si>
  <si>
    <t>Número de mujeres formadas para la participación sociopolítica, liderazgo e incidencia política en el Distrito</t>
  </si>
  <si>
    <t>Casa de la Mujer en operación y/o funcionamiento</t>
  </si>
  <si>
    <t>Estudios socioeconómicos y poblacionales elaborados</t>
  </si>
  <si>
    <t>Estudios de focalización territorial de beneficiarios de Programas Sociales elaborados</t>
  </si>
  <si>
    <t>Productos de generación de nuevo conocimiento desarrollados</t>
  </si>
  <si>
    <t>Actividades científicas de apropiación social del conocimiento desarrollados</t>
  </si>
  <si>
    <t>Encuesta Multipropósito desarrollada</t>
  </si>
  <si>
    <t>Mapa Interactivo de Asuntos del Suelo - MIDAS 
actualizado y optimizado</t>
  </si>
  <si>
    <t>Sistema de Información Geográfico y Estadístico Distrital con infraestructura de datos espaciales creado</t>
  </si>
  <si>
    <t>Base de datos de estratificación actualizada</t>
  </si>
  <si>
    <t>Política de Gestión Estadística implementada en el marco del MIPG</t>
  </si>
  <si>
    <t>Base de datos del Sistema de Identificación de Potenciales Beneficiarios de Programas Sociales - SISBEN IV actualizada en la fase de demanda</t>
  </si>
  <si>
    <t>Oficina Administrativa y puntos de atención del Sistema de Identificación de Potenciales Beneficiarios de Programas Sociales - SISBEN IV mejorados</t>
  </si>
  <si>
    <t>Informes periódicos seguimiento de Inversión Pública</t>
  </si>
  <si>
    <t>Asistencias técnicas a entidades del Distrito elaboradas</t>
  </si>
  <si>
    <t>Soportes técnicos a usuarios en temas de proyectos de inversión elaborados</t>
  </si>
  <si>
    <t>Planes de Desarrollo Locales formulados y con seguimiento</t>
  </si>
  <si>
    <t>Estrategia de asistencia técnica para la formulación de los Planes de Desarrollo Estratégicos Comunales formulada</t>
  </si>
  <si>
    <t>Planes de Acción formulados y con seguimiento</t>
  </si>
  <si>
    <t>Proyectos estratégicos de ciudad formulados</t>
  </si>
  <si>
    <t>Políticas públicas formuladas y acompañadas en su evaluación y seguimiento</t>
  </si>
  <si>
    <t>Políticas públicas finalizadas en su formulación</t>
  </si>
  <si>
    <t>Estudios técnicos para la creación de nuevas localidades</t>
  </si>
  <si>
    <t>SECRETARÍA DE PLANEACIÓN - SECRETARÍA DEL INTERIOR Y CONVIVENCIA CIUDADANA</t>
  </si>
  <si>
    <t>Proyecto de acuerdo presentado al Concejo para la creación de localidades</t>
  </si>
  <si>
    <t>Asistencia tecnica y seguimiento a la ejecucion de los fondos de desarrollo local desarrolladas</t>
  </si>
  <si>
    <t>Instancias del Sistema Distrital de Planeación Participativa acompañadas con apoyo técnico, administrativo y logístico</t>
  </si>
  <si>
    <t>Sistema de Información catastral actualizad</t>
  </si>
  <si>
    <t>SECRETARÍA DE HACIENDA - SECRETARÍA DE PLANEACIÓN</t>
  </si>
  <si>
    <t>Plan de fortalecimiento para la prestación efectiva del servicio público de gestión catastral formulado</t>
  </si>
  <si>
    <t>CAPÍTULO/COMPONENTE IMPULSOR/ PROGRAMA/ PRODUCTO (INDICADOR)/ META PRODUCTO</t>
  </si>
  <si>
    <t>Consejos Comunitarios y Organizaciones de Base de las Comunidades Negras, Afrocolombianas, Raizales y Palenqueras formados en temas de gobernabilidad</t>
  </si>
  <si>
    <t>Formar en temas de legislación, derechos humanos y el fortalecimiento organizacional a sesenta (60) Consejos Comunitarios y Organizaciones de Base de las Comunidades Negras, Afrocolombianas, Raizales y Palenqueras</t>
  </si>
  <si>
    <t xml:space="preserve">SECRETARÍA DEL INTERIOR Y CONVIVENCIA CIUDADANA - SECRETARÍA GENERAL - Oficina Asesora de Asuntos Étnicos
</t>
  </si>
  <si>
    <t>Número de funcionarios del Distrito formados en enfoque étnico</t>
  </si>
  <si>
    <t>Formar a quinientos (500) funcionarios de la Alcaldía Distrital entre ellos los operadores de justicia en enfoque étnico</t>
  </si>
  <si>
    <t>SECRETARÍA DEL INTERIOR Y CONVIVENCIA CIUDADANA - SECRETARÍA GENERAL - Oficina 
Asesora de 
Asuntos 
Étnicos</t>
  </si>
  <si>
    <t>Ruta y modelo de atención psicosocial para atención de situaciones de antirracismo y víctimas del racismo diseñada e implementada</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</si>
  <si>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</si>
  <si>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</si>
  <si>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</si>
  <si>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</si>
  <si>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</si>
  <si>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</si>
  <si>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</si>
  <si>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</si>
  <si>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</si>
  <si>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</si>
  <si>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Implementar en los treinta y tres (33) Consejos Comunitarios del Distrito la ruta de atención de acuerdo con la reglamentación o normativa del conflicto (T- 025 2004, Decreto 4635 de 2011 y el auto 005 2009)</t>
  </si>
  <si>
    <t>Redes Étnicas Diferenciadas para adecuación sociocultural, de promoción y mantenimiento de salud conformadas</t>
  </si>
  <si>
    <t>Conformar cuatro (4) Redes Étnicas Diferenciadas (1 organización urbanas y 3 rurales con Consejos Comunitarios) para adecuación sociocultural de promoción y mantenimiento de salud</t>
  </si>
  <si>
    <t>Estrategia de apropiación social del conocimiento para la reducción de la incidencia de los factores toxicológicos y epidemiológicos de las comunidades negras del</t>
  </si>
  <si>
    <t>Diseñar e implementar una (1) estrategia de apropiación social del conocimiento para la reducción de la incidencia de los factores toxicológicos y epidemiológicos de las comunidades Negras del Distrito</t>
  </si>
  <si>
    <t>Torneos intercomunitarios de juegos tradicionales desarrollados</t>
  </si>
  <si>
    <t>Desarrollar cuatro (4) torneos intercomunitarios de juegos tradicionales, concertado con los Consejos Comunitarios (bate de tapita, bola de trapo, trompo, dominó, entre otros)</t>
  </si>
  <si>
    <t>Torneos de competencias del mar desarrollados con los Consejos Comunitarios</t>
  </si>
  <si>
    <t>Desarrollar cuatro (4) torneos de competencias del mar concertado con los Consejos Comunitarios (canotaje, competencia de atarrayas, pesca, tejidos, entre otros)</t>
  </si>
  <si>
    <t>Mesa de Expertos creada, implementada y con seguimiento de la implementación de la cátedra de estudios afroamericanos, transición de PEI a PEC e implementación de la resemantización en Instituciones Educativas Oficiales del Distrito</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</si>
  <si>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</si>
  <si>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Becas inclusivas para estudiantes de comunidades negra, afrocolombiana, raizales y palenquera otorgadas</t>
  </si>
  <si>
    <t>Otorgar trescientas noventa y seis (396) becas inclusivas a estudiantes de los Consejos Comunitarios</t>
  </si>
  <si>
    <t>Subsidios para mejoramiento de vivienda otorgados a comunidades negra, afrocolombiana, raizales y palenqueras de los Consejos Comunitarios del Distrito</t>
  </si>
  <si>
    <t>Otorgar cuatrocientos cincuenta (450) subsidios para mejoramiento de vivienda focalizado en las comunidades negras, afrodescendientes, raizales y palenqueros del Distrito</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</si>
  <si>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</si>
  <si>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</si>
  <si>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Programa de Monitoreo Comunitario de Restauración de Ecosistemas Marino - Costeros diseñado y operando</t>
  </si>
  <si>
    <t>Crear e implementar un (1) Programa de Monitoreo Comunitario de Restauración de Ecosistemas Marino-Costeros de los Consejos Comunitarios asentados en la zona marino costera y la Ciénaga de la Virgen</t>
  </si>
  <si>
    <t>Programa de Salvaguarda y Recuperación de los Bienes de Interés de Cultural de los Territorios negros, afrocolombiano, raizales y palenqueros creado e implementado</t>
  </si>
  <si>
    <t>Crear e implementar un (1) Programa de Salvaguarda y Recuperación de los Bienes de Interés de Cultural de los Territorios negros, afrocolombiano, raizales y palenqueros</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</si>
  <si>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</si>
  <si>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</si>
  <si>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Ecosistemas Empresariales para el cambio en las comunidades negras del Distrito de Cartagena: Aceleración de Impacto a través de creación de nuevos negocios desarrollado</t>
  </si>
  <si>
    <t>Desarrollar un (1) Ecosistema Empresarial para el cambio en las comunidades negras, afrocolombianas, raizal y palenquero del Distrito de Cartagena: Aceleración de Impacto a través de creación de nuevos negocios</t>
  </si>
  <si>
    <t>SECRETARÍA DE TURÍSMO SECRETARÍA DEL INTERIOR Y CONVIVENCIA CIUDADANA - Oficina Asesora de Asuntos Étnicos</t>
  </si>
  <si>
    <t>Espacios de participación promovidos de las comunidades negras, afro, raizales y palenqueras en la elaboración de la Política Pública de Lucha contra la Pobreza y Seguridad Alimentari</t>
  </si>
  <si>
    <t>Promover un (1) espacio de participación de las comunidades negras, afro, raizales y palenqueras en la elaboración de la Política Pública de Lucha contra la Pobreza y Seguridad Alimentaria</t>
  </si>
  <si>
    <t>SECRETARÍA GENERAL - Oficina Asesora de Asuntos Étnicos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</si>
  <si>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</si>
  <si>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</si>
  <si>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Asistencia técnica brindada para la adquisición de hectáreas para la constitución de un Territorio Indígena que cobija los tres pueblos indígenas: ZENU, INGA, KANKUAMO</t>
  </si>
  <si>
    <t>Brindar asistencia técnica a cinco (5) cabildos indígenas para la adquisición de hectáreas para la constitución de un Territorio Indígena que cobija los tres pueblos indígenas: ZENÚ, INGA, KANKUAMO</t>
  </si>
  <si>
    <t>Lote para la reubicación de Cabildo Indígena CAIZEM asentado en Membrillal adquirido</t>
  </si>
  <si>
    <t>Adquirir un (1) lote para la reubicación de Cabildo indígena CAIZEM asentado en Membrillal</t>
  </si>
  <si>
    <t>Subsidios para mejoramiento de vivienda otorgados a miembros de los cabildos indígenas
ubicados en el Distrito</t>
  </si>
  <si>
    <t>Otorgar cuatrocientos cincuenta (450) de subsidios para mejoramiento de vivienda a miembros de los cabildos indígenas ubicados en el Distrito</t>
  </si>
  <si>
    <t>Cabildos indígenas asesorados en gobernanza y legislación indígena</t>
  </si>
  <si>
    <t>Asesorar a seis (6) cabildos indígenas en gobernanza y legislación indígena</t>
  </si>
  <si>
    <t>Planes de Vida de cabildos indígenas elaborados</t>
  </si>
  <si>
    <t>Elaborar los Planes de Vida de cinco (5) cabildos indígenas asentados en el Distrito de Cartagena (Zenú Zhandero, Zenu Bayunca, Zenu Pasacaballos, Kankuamo e Inga)</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</si>
  <si>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</si>
  <si>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</si>
  <si>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Indígena-CEMI mantenido</t>
  </si>
  <si>
    <t>Mantener un (1) espacio para la implementación del Centro de Estudio de Pensamiento Mayor Indígena Intercultural-CEMI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</si>
  <si>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</si>
  <si>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</si>
  <si>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Cabildos Indígenas articulados con la ESE Hospital Local para la atención intercultural indígena de conformidad a los componentes del SISPI</t>
  </si>
  <si>
    <t>Articular con la ESE Hospital Local la atención intercultural indígena en seis (6) Cabildos Indígenas, de conformidad a los componentes del SISPI</t>
  </si>
  <si>
    <t>Programa de atención psicosocial y salud integral a víctimas implementado y mantenido anualmente</t>
  </si>
  <si>
    <t>Implementar y mantener anualmente un (1) programa de atención psicosocial y salud integral a víctimas en los 6 Cabildos Indígenas</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</si>
  <si>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</si>
  <si>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</si>
  <si>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Torneos de juegos ancestrales y convencionales indígenas realizados en los seis cabildos indígenas asentados en el Distrito desarrollados</t>
  </si>
  <si>
    <t>Desarrollar cuatro (4) torneos de juegos ancestrales y convencionales indígenas en los seis Cabildos Indígenas asentados en el Distrito</t>
  </si>
  <si>
    <t>Programa de protección, divulgación, preservación y salvaguarda de las prácticas, costumbres y saberes ancestrales de los pueblos originarios de los 6 cabildos indígenas presentes en el Distrito creado e implementado</t>
  </si>
  <si>
    <t>Crear e implementar un (1) programa de protección, divulgación, preservación y salvaguarda de las prácticas, costumbres y saberes ancestrales de los pueblos originarios de los 6 Cabildos Indígenas presentes en el Distrito</t>
  </si>
  <si>
    <t>Becas inclusivas para estudiantes de los cabildos indígenas asentados en el Distrito</t>
  </si>
  <si>
    <t>Otorgar sesenta (60) becas inclusivas para estudiantes de los cabildos indígenas</t>
  </si>
  <si>
    <t>Emprendimiento s de mujeres indígenas distribuidas en los 6 cabildos del Distrito financiados</t>
  </si>
  <si>
    <t>Financiar sesenta (60) emprendimientos de mujeres indígenas distribuidas en los 6 Cabildos del Distrito</t>
  </si>
  <si>
    <t>Unidades productivas en cabildos indígenas con asistencias técnicas y apoyo financiero</t>
  </si>
  <si>
    <t>Brindar asistencia técnica y apoyo financiero a doscientas (200) unidades productivas de los Cabildos Indígenas presentes en el Distrito</t>
  </si>
  <si>
    <t>PES</t>
  </si>
  <si>
    <t>torgados en el Laboratorio Cultural de Mercados Sectoriales a unidades productivas de las comunidades indígenas</t>
  </si>
  <si>
    <t>Otorgar ocho (8) espacios a unidades productivas de comunidades indígenas en el Laboratorio Cultural de los Mercados Sectoriales como mecanismo de generación de ingresos</t>
  </si>
  <si>
    <t>Mujeres indígenas atendidas en el fortalecimiento de las actividades propias</t>
  </si>
  <si>
    <t>Atender a cien (100) mujeres indígenas en el fortalecimiento de sus actividades propias</t>
  </si>
  <si>
    <t>Unidad Municipal de Asistencia Técnica Agropecuaria</t>
  </si>
  <si>
    <t>Mujeres indígenas atendidas con servicios de extensión agropecuaria</t>
  </si>
  <si>
    <t>Atender a cien (100) mujeres indígenas con servicios de extensión agropecuaria</t>
  </si>
  <si>
    <t>PORCENTAJE  ALCANZADO DICIEMBRE  RESPECTO A LO PROGRAMADO 2024</t>
  </si>
  <si>
    <t xml:space="preserve">LOGRO ALCANZADO DICIEMBRE RESPECTO AL CUATRIENIO  </t>
  </si>
  <si>
    <t xml:space="preserve">PONDERADOR </t>
  </si>
  <si>
    <t>AVANCE  VIGENCIA 2024 CUARTO TRIMESTRE RESPECTO A PROGRAMADO CUATRIENIO (ACUMULADO AÑO 2024)</t>
  </si>
  <si>
    <t>AVANCE RESPECTO AL PROGRAMADO VIGENCIA  2024  CUARTO TRIMESTRE (ACUMULADO AÑO 2024)</t>
  </si>
  <si>
    <t>PLAN DE DESARROLLO CARTAGENA CIUDAD DE DERECHOS 20224 - 2027</t>
  </si>
  <si>
    <t xml:space="preserve">Implementar cuatrocientos cuarenta  (440) sistemas de información para la seguridad (alarmas comunitarias, drones, totem) 
</t>
  </si>
  <si>
    <t>PONDERADOR LINEA ESTRATEGICA</t>
  </si>
  <si>
    <t>Racionalizar cuarenta (40)  nuevos trámites y/o procesos administrativos </t>
  </si>
  <si>
    <t>Crear un (1) Centro Integral de Atención Ciudadano (CIAC)</t>
  </si>
  <si>
    <t>Optimizar tres (3) ventanillas de atención ciudadana en su funcionamiento</t>
  </si>
  <si>
    <t>Implementar una (1) estrategia de acceso para respuesta a transparencia activa y pasiva, los instrumentos de gestión de la información con criterios de accesibilidad</t>
  </si>
  <si>
    <t>Desarrollar ocho (8) rendiciones públicas de cuentas a la ciudadanía</t>
  </si>
  <si>
    <t>Formar a tres mil (3.000) personas en el uso de Tecnologías de Información y Comunicaciones (TIC)</t>
  </si>
  <si>
    <t>Actualizar seis (6) sistemas de información de la entidad</t>
  </si>
  <si>
    <t>Implementar seis (6) nuevos sistemas de información institucionales</t>
  </si>
  <si>
    <t>Instalar treinta y dos (32) nuevas zonas Wi-Fi y mantener las 18 actuales</t>
  </si>
  <si>
    <t>Implementar una (1) estrategia para la simplificación de procesos</t>
  </si>
  <si>
    <t>Crear e implementar una (1) estrategia para la gestión del conocimiento y la innovación</t>
  </si>
  <si>
    <t>Implementar tres (3) herramientas tecnológicas para el uso, apropiación y fortalecimiento institucional implementadas</t>
  </si>
  <si>
    <t>Implementar cuatro (4) documentos de diagnóstico e implementación del Modelo Integrado de Planeación y Gestión – MIPG</t>
  </si>
  <si>
    <t>Elaborar e implementar cuatro (4) agendas regulatorias</t>
  </si>
  <si>
    <t>Implementar cuatro (4) procesos de depuración normativa</t>
  </si>
  <si>
    <t>Actualizar diez mil seiscientos treinta y cinco (10.635) predios del inventario de bienes inmuebles pertenecientes al Distrito</t>
  </si>
  <si>
    <t>Intervenir seiscientos (600) bienes inmuebles y predios del Distrito</t>
  </si>
  <si>
    <t>Actualizar un (1) inventario de bienes muebles pertenecientes al Distrito</t>
  </si>
  <si>
    <t>Implementar cinco (5) fases del proceso de rediseño organizacional (Acuerdo Inicial, Diagnóstico, Diseño, Implementación, Supresión y/o liquidación)</t>
  </si>
  <si>
    <t>Implementar (1) Un Plan Estratégico  de Tratamiento de Riesgo de Seguridad y Privacidad de la Información.</t>
  </si>
  <si>
    <t>Implementar (1) Un Plan Estratégico  de Seguridad y Privacidad de la información.</t>
  </si>
  <si>
    <t>Implementar un (1) Cloud Data Center para la protección y seguridad de la información en el Distrito de Cartagena</t>
  </si>
  <si>
    <t>Implementar cinco (5) servicios de gestión documental</t>
  </si>
  <si>
    <t>Implementar dos (2) servicios de sistemas de gestión</t>
  </si>
  <si>
    <t>Implementar un (1) Sistema de Gestión de Archivos Electrónicos – SGDEA en sus 5 fases: (Planeación, análisis, diseño, implementación y evaluacion, monitoreo y control)</t>
  </si>
  <si>
    <t>Diseñar e implementar un (1) Plan de Formación sobre el Sistema de Control Interno y Control Interno Contable</t>
  </si>
  <si>
    <t>Implementar un (1) Software de Auditoría Basada en Riesgos para procesos y sistemas de información</t>
  </si>
  <si>
    <t>Dotar tres (3) sedes del DATT con logística para mejorar la gestión administrativa y operativa en la prestación del servicio</t>
  </si>
  <si>
    <t>Diseñar un (1) portafolio virtual para oferta de trámites y servicios</t>
  </si>
  <si>
    <t>Recuperar ciento diecisiete mil dos ($ 117.002) millones de pesos de la cartera del DATT</t>
  </si>
  <si>
    <t>Instalar en treinta (30) puntos de la ciudad con sistema de monitoreo, control y fiscalización electrónica del tránsito</t>
  </si>
  <si>
    <t>Recaudar $1.727.905.000.000 pesos por impuesto predial unificado</t>
  </si>
  <si>
    <t>Recaudar $2.912.805.184.493 pesos por Impuesto de Industria y Comercio y complementarios</t>
  </si>
  <si>
    <t>Recaudar 34.797.802.428 de Impuesto delineación urbana en el cuatrienio</t>
  </si>
  <si>
    <t>Recaudar 238.874.034.451 de Sobretasa a la gasolina en el cuatrienio</t>
  </si>
  <si>
    <t>Implementar un (1) proyecto de modernización integral en la Secretaría de Hacienda</t>
  </si>
  <si>
    <t>Formar y cualificar dos mil ciento noventa y ocho (2.198) servidores públicos y contratistas del Distrito en enfoques diferenciales</t>
  </si>
  <si>
    <t>Crear e implementar cuatro (4) estrategias de formación en cultura tributaria dirigidas a servidores públicos y contratistas del Distrito</t>
  </si>
  <si>
    <t>Desarrollar ochenta (80) procesos de formación a ciudadanos</t>
  </si>
  <si>
    <t>Desarrollar veinte (20) procesos de formación a ciudadanos pertenecientes a grupos étnicos</t>
  </si>
  <si>
    <t>Elaborar dieciséis (16) mesas de planeación y participación dirigidas a distintos grupos de población con enfoque inclusivo, diferencial y territorial</t>
  </si>
  <si>
    <t>Desarrollar cuarenta (40) procesos de formación con enfoque inclusivo, diferencial y territorial</t>
  </si>
  <si>
    <t>Implementar cuatro (4) estrategias pedagógicas para promover el orgullo y el sentido de pertenencia por la ciudad</t>
  </si>
  <si>
    <t>Implementar ciento treina y ocho (138) iniciativas de cultura ciudadana</t>
  </si>
  <si>
    <t>Implementar ocho (8) estrategias pedagógicas para fortalecer la cultura vial y el adecuado uso del Sistema Integrado de Transporte Masivo</t>
  </si>
  <si>
    <t>Implementar cuatro (4) estrategias de promocion de practicas para el cuidado y el desarrollo integral del ser humano</t>
  </si>
  <si>
    <t>Implementar cuatro (4) estartegias para fomentar el respeto y la prevencion del maltrato contra la mujer</t>
  </si>
  <si>
    <t>Realizar doce (12) mesas de gobernanza para el seguimiento a indicadores de ciudad</t>
  </si>
  <si>
    <t>Desarrollar cuatro (4) procesos de formación en gobernanza e innovación pública</t>
  </si>
  <si>
    <t>Asesorar y acompañar doscientos nueve (209) organismos de acción comunal para el trámite exitoso de su Registro Único Tributario (RUT) ante la DIAN</t>
  </si>
  <si>
    <t>Asesorar y acompañar trescientos veintiocho (328) organismos de accion comunal asesorados y acompañados para eñ tramite exitoso de su registro unico comunal (RUC)</t>
  </si>
  <si>
    <t>Asesorar y acompañar cuatrocientos dos (402) rganismos de accion comunal en procesos de actualizacion estatutaria</t>
  </si>
  <si>
    <t>Crear e implementar una (1) Guia Metodologica para la formulacion de planes de desarrollo estrategicos comunales PDEC</t>
  </si>
  <si>
    <t>Diseñar una (1) ruta para garantizar la proteccion y acompañamiento de lideres y lideresas sociales, dignatarios y/o afiliados a organismos comunales de la ciudad en situacion de riesgo</t>
  </si>
  <si>
    <t>Crear y poner en funcionamiento una (1) Plataforma web de seguimiento a procesos y procedimientos de organismos comunales y organinazciones sociales de base</t>
  </si>
  <si>
    <t>Financiar trescientas (300) obras de interes comunitario con organismos de acción comunal a través de convenios solidarios</t>
  </si>
  <si>
    <t>Dotar y/o adecuar cien (100) sedes comunales en el Distrit</t>
  </si>
  <si>
    <t>Construir tres (3) sedes comunales en el Distrito</t>
  </si>
  <si>
    <t>Crear un (1) banco de proyectos de iniciativas comunales y comunitarias</t>
  </si>
  <si>
    <t>Desarrollar doscientas (200) actividades de cambio y transformación del entorno con organismos de acción comunal y la cuadrilla comunal</t>
  </si>
  <si>
    <t>Crear un (1) fondo de financiamiento y apalancamiento para la ejecución de iniciativas y proyectos de organizaciones comunales, comunitarias y/o sociales de base</t>
  </si>
  <si>
    <t>Invertir seis mil millones de pesos ($6.000.000.000) pesos para presupuestos participativos por año</t>
  </si>
  <si>
    <t>Vincular a cincuenta mil (50.000) ciudadanos a procesos de construcción de instrumentos de gestión y de políticas públicas</t>
  </si>
  <si>
    <t>Crear cuatro (4) campañas para la promoción de la participación ciudadana</t>
  </si>
  <si>
    <t>Desarrollar veinte (20) encuentros comunales y/o comunitarios de intercambio de experiencias, construcción de ciudad y promoción de la participación ciudadana</t>
  </si>
  <si>
    <t>Certificar mil quinientos (1.500) afiliados y afiliadas a organismos comunales del Distrito bajo la metodología del programa Formador de Formadores para la Acción Comunal</t>
  </si>
  <si>
    <t>Conformar un (1) voluntariado juvenil distrital</t>
  </si>
  <si>
    <t>Crear una (1) escuela de formación en liderazgo juvenil</t>
  </si>
  <si>
    <t>Vincular ocho mil (8.000) jóvenes en programas de formación sociopolítica y habilidades para la vida</t>
  </si>
  <si>
    <t>Implementar cuatro (4) programas (uno por año) para el fortalecimiento de los derechos de la Juventud</t>
  </si>
  <si>
    <t>Acompañar con apoyo técnico, administrativo y logístico al Consejo Distrital de Juventud y Plataforma de Juventudes</t>
  </si>
  <si>
    <t>Crear un (1) Consejo Consultivo de Mujeres y Equidad de Género</t>
  </si>
  <si>
    <t>Formar a tres mil (3.000) mujeres para la participación sociopolítica, liderazgo e incidencia política en el Distrito</t>
  </si>
  <si>
    <t>Diseñar, construir y dotar una (1) Casa de la Mujer para su operación y/o funcionamiento</t>
  </si>
  <si>
    <t>Elaborar cuatro (4) estudios socioeconómicos y poblacionales</t>
  </si>
  <si>
    <t>Elaborar seis (6) estudios de focalización territorial de beneficiarios de Programas Sociales</t>
  </si>
  <si>
    <t>Desarrollar seis (6) productos de generación de nuevo conocimiento</t>
  </si>
  <si>
    <t>Desarrollar diez (10) actividades científicas de apropiación social del conocimiento</t>
  </si>
  <si>
    <t>Desarrollar una (1) Encuesta Multipropósito</t>
  </si>
  <si>
    <t>Actualizar y optimizar un (1) Mapa Interactivo de Asuntos del Suelo - MIDAS</t>
  </si>
  <si>
    <t>Crear e implementar un (1) Sistema de Información Geográfico y Estadístico Distrital potenciado con infraestructura de datos espaciales</t>
  </si>
  <si>
    <t>Mantener actualizada una (1) base de datos de estratificación del Distrito</t>
  </si>
  <si>
    <t>Implementar una (1) Política de Gestión Estadística en el marco de MIPG</t>
  </si>
  <si>
    <t>Mantener actualizada una (1) base de datos del SISBEN IV en la fase de demanda</t>
  </si>
  <si>
    <t>Mejorar una (1) Oficina Administrativa y diez (10) puntos de atención del SISBEN IV</t>
  </si>
  <si>
    <t>Elaborar dieciséis (16) informes periódicos seguimiento de inversión pública</t>
  </si>
  <si>
    <t>Elaborar noventa y dos (92) asistencias técnicas entidades del Distrito</t>
  </si>
  <si>
    <t>Elaborar mil quinientos (1.500) soportes técnicos a usuarios en temas de proyectos de inversión</t>
  </si>
  <si>
    <t>Formular y hacer seguimiento a los Planes de Desarrollo Local</t>
  </si>
  <si>
    <t>Formular una (1) estrategia de asistencia técnica para la formulación de los Planes de Desarrollo Estratégicos Comunales</t>
  </si>
  <si>
    <t>Formular y hacer seguimiento a veintiun (21) Planes de Acción</t>
  </si>
  <si>
    <t>Formular en sus tres fases siete (7) proyectos estratégicos de ciudad</t>
  </si>
  <si>
    <t>Formular y acompañar en su evaluación y seguimiento a nueve (9) políticas públicas</t>
  </si>
  <si>
    <t>Finalizar la formulación y acompañar en la evaluación y seguimiento a tres (3) políticas públicas</t>
  </si>
  <si>
    <t>Elaborar un (1) estudio técnico para la creación de nuevas localidades</t>
  </si>
  <si>
    <t>Presentar un (1) proyecto de acuerdo al Concejo para la creación de dos localidades</t>
  </si>
  <si>
    <t>Desarrollar Asistencia tecnica y seguimiento a la ejecucion de los fondos de desarrollo local</t>
  </si>
  <si>
    <t>Acompañar con apoyo técnico, administrativo y logístico anualmente a cinco (5) instancias de planeación (Consejo Territorial de Planeación, el Consejo Consultivo de Ordenamiento Territorial y el Consejo de Participación Ciudadana)</t>
  </si>
  <si>
    <t>Implementar una (1) operación del servicio público de catastro multipropósito</t>
  </si>
  <si>
    <t>Formular un (1) plan de fortalecimiento para la prestación efectiva del servicio público de gestión catastral</t>
  </si>
  <si>
    <t>Revisar, actualizar y ajustar un (1) Plan de Ordenamiento Territorial para presentarlo ante el Concejo para su adopción</t>
  </si>
  <si>
    <t>Revisar, actualizar y ajustar un (1) Plan Especial de Manejo y Protección del Centro Histórico y su área de influencia para presentarlo ante el Ministerio de Cultura para su adopción</t>
  </si>
  <si>
    <t>Formular una (1) Actuación Urbana Integral A.U.I -12 / Recuperación Integral del Cerro de la Popa</t>
  </si>
  <si>
    <t>Formular una (1) Actuación Urbana Integral A.U.I -13 / Recuperación Integral del Cerro de Albornoz – Cospique</t>
  </si>
  <si>
    <t>Formular una (1) nueva Actuación Urbana Integral A.U.I / Desarrollo de un Plan Parcial de mejoramiento de vivienda con un proyecto multipropósito de espacios públicos y mixtos para el mejoramiento del hábitat de los asentamientos de Nelson y Villa Hermosa</t>
  </si>
  <si>
    <t>Formular dos (2) Planes: un (1) Plan Maestro de Servicios Urbanos e Institucionales al ciudadano, y un (1) Plan Maestro de Equipamientos Colectivos y Hábitat</t>
  </si>
  <si>
    <t>Formular un (1) Plan Local Portuario, articulado a los instrumentos de planeación territorial y a la Política Pública Nacional Portuaria</t>
  </si>
  <si>
    <t>Reformular, adoptar y dar seguimiento a un (1) Plan Parcial de Renovación Urbana de Bazurto</t>
  </si>
  <si>
    <t>Adoptar dos (2) Planes Parciales en suelo de expansión de los Centros Poblados de Bayunca y Pasacaballos</t>
  </si>
  <si>
    <t>Reformular, adoptar y dar seguimiento a un (1) Plan Parcial del Sector Policarpa, Arroz Barato y Puerta de Hierro</t>
  </si>
  <si>
    <t>Reformular, adoptar y dar seguimiento a un (1) Plan Parcial de Reordenamiento de las Lomas del Marión y Zaragocilla</t>
  </si>
  <si>
    <t>Tramitar la totalidad de los proyectos de legalización urbanística presentados a la administración distrital</t>
  </si>
  <si>
    <t>Diseñar y ejecutar un (1) Plan Estratégico para el traslado de Marlinda y Villa Gloria</t>
  </si>
  <si>
    <t>Formular y ejecutar diez (10) Planes de Mejoramiento Integral de Centros Poblados (Arroyo Grande, Arroyo de las Canoas, Punta Canoas, Manzanillo, Puerto Rey, Tierrabaja, Pontezuela, Membrillal, Leticia y Recreo)</t>
  </si>
  <si>
    <t>Diseñar cuatro (4) lineamientos técnicos y pedagógicos para garantizar el derecho a la ciudad de niñas y mujeres en el entorno urbano</t>
  </si>
  <si>
    <t>Formular un (1) Plan Estratégico Prospectivo Cartagena 2050</t>
  </si>
  <si>
    <t>Recuperar y mantener ciento ochenta y cinco mil (185.000) metros cuadrados de espacios públicos</t>
  </si>
  <si>
    <t>Habilitar once mil (11.000) metros cuadrados de espacio público nuevos para el aprovechamiento económico</t>
  </si>
  <si>
    <t>Presentar doscientas (200) querellas para la recuperación del espacio público</t>
  </si>
  <si>
    <t>Formular una (1) Política Pública de Legalización de Asentamientos Humanos y del Control Urbano</t>
  </si>
  <si>
    <t>Formular y presentar dos (2) documentos de planeación para la implementación de la curaduría pública y de nuevas curadurías urbanas</t>
  </si>
  <si>
    <t>Formular un (1) estudio para dar viabilidad para la creación de nuevas curadurías urbanas</t>
  </si>
  <si>
    <t>Elaborar ocho (8) obras de demolición derivadas de fallos, sentencias y sanciones</t>
  </si>
  <si>
    <t>Conformar un (1) equipo de reacción inmediata para la reducción, intervención y control de invasiones ilegales</t>
  </si>
  <si>
    <t>Certificar dos mil ochocientos (2.800) defensores urbanos barriales en normas urbanísticas</t>
  </si>
  <si>
    <t>Especializar y dotar siete (6) sedes de inspecciones en temas urbanísticos con herramientas tecnológicas</t>
  </si>
  <si>
    <t>Generar seiscientos (600) documentos normativos</t>
  </si>
  <si>
    <t>Desarrollar doce (12) actividades por año para promover la protección y bienestar animal en sectores turísticos</t>
  </si>
  <si>
    <t>Atender a veinte mil (20.000) animales por año en jornadas de salud, prevención y protección animal</t>
  </si>
  <si>
    <t>Estandarizar tres (3) protocolos para la atención a animales domésticos y silvestres</t>
  </si>
  <si>
    <t>Censar cien mil (100.000) animales domésticos</t>
  </si>
  <si>
    <t>Crear tres (3) módulos o aplicativos funcionales de software integrados en una plataforma web de acceso abierto</t>
  </si>
  <si>
    <t>Crear y poner en operación un (1) Centro de Bienestar Animal del Distrito</t>
  </si>
  <si>
    <t>Dotar tres (3) unidades móviles de atención veterinaria</t>
  </si>
  <si>
    <t>Plantar trescientos mil (300.000) árboles en el Distrito de Cartagena</t>
  </si>
  <si>
    <t>Restaurar ocho (8) hectáreas de áreas degradadas</t>
  </si>
  <si>
    <t>Construir y dotar un (1) Centro de Atención y Valoración de Fauna Silvestre nuevo</t>
  </si>
  <si>
    <t>Crear y poner en funcionamiento un (1) Centro Inteligente para el Monitoreo Ambiental de Cartagena</t>
  </si>
  <si>
    <t>Implementar dos (2) estaciones de monitoreo de la calidad del aire</t>
  </si>
  <si>
    <t>Elaborar cuatro (4) documentos de investigación para la gestión de la información y el conocimiento ambiental</t>
  </si>
  <si>
    <t>Formular una (1) Política Pública de Educación Ambiental</t>
  </si>
  <si>
    <t>Diseñar diez mil (10.000) metros lineales de senderos peatonales</t>
  </si>
  <si>
    <t>Diseñar y construir seis (6) megaproyectos de parques con criterios de adaptación al cambio climático</t>
  </si>
  <si>
    <t>Elaborar seis (6) documentos de lineamientos técnicos para determinantes ambientales</t>
  </si>
  <si>
    <t>Actualizar e implementar un (1) Plan 4C: Cartagena Competitiva y Compatible con el Clima</t>
  </si>
  <si>
    <t>Actualizar y adoptar un (1) Plan Distrital de Gestión de Riesgo</t>
  </si>
  <si>
    <t>Mantener actualizado un (1) Sistema de informacion de conocimiento del riesgo</t>
  </si>
  <si>
    <t>Llevar a ciento ocho (108) el número de inventarios de asentamientos en zonas de alto riesgo elaborados</t>
  </si>
  <si>
    <t>Implementar un (1) sistema de comunicación de gestión del riesgo con todos los actores que integran la gestión de riesgo del Distrito</t>
  </si>
  <si>
    <t>Coordinar veintitrés (23) acciones para mitigación y atención de desastres</t>
  </si>
  <si>
    <t>Formar ciento treinta y dos (132) organizaciones comunitarias en prevención y gestión de los riesgos</t>
  </si>
  <si>
    <t>Desarrollar tres (3) Acciones de protección de laderas para reducción del riesgo en el Cerro Lefran, Cerro la Popa y Cerro de Albornoz</t>
  </si>
  <si>
    <t>Actualizar y adoptar una (1) Estrategia de Respuesta a Emergencias del Distrito de Cartagena</t>
  </si>
  <si>
    <t>Atender dos mil (2.000) emergencias de riesgo que se presenten en el Distrito</t>
  </si>
  <si>
    <t>Entregar mil cuatrocientos cincuenta (1.450) beneficios económicos a familias afectadas en los distintos eventos manejados por la Oficina Asesora para la Gestión de Riesgo de Desastres</t>
  </si>
  <si>
    <t>Construir siete (7) km de protección costera para llegar a los 13.2 km</t>
  </si>
  <si>
    <t>Formular e implementar un (1) Plan Integral de Parques y Zonas Verdes</t>
  </si>
  <si>
    <t>Mejorar cinco (5) kilómetros de orillas para uso recreativo en caños, lagos y lagunas</t>
  </si>
  <si>
    <t>Formular e implementar un (1) Plan Especial de Movilidad y Peatonalización del Centro Histórico</t>
  </si>
  <si>
    <t>Mejorar catorce mil (14.000) metros lineales de andenes y bordillos del Centro Histórico</t>
  </si>
  <si>
    <t>Mejorar quince (15) plazas, parques y plazoletas del Centro Histórico</t>
  </si>
  <si>
    <t>Elaborar un (1) Estudio de Capacidad de Carga del Espacio Público Patrimonial</t>
  </si>
  <si>
    <t>Elaborar un (1) Estudio y dar lineamientos técnicos de las nuevas Tipologías Arquitectónicas del Centro Histórico</t>
  </si>
  <si>
    <t>Elaborar una (1) Cartilla del Espacio Público Patrimonial</t>
  </si>
  <si>
    <t>Recuperar y mantener dos parques: (parque Espíritu del Manglar y Parque del Centenario).</t>
  </si>
  <si>
    <t>Rehabilitar cuatro (4) espacios públicos que comunican el Centro Histórico y Castillo de San Felipe</t>
  </si>
  <si>
    <t>Adecuar tres (3) zonas del espacio público para la recreación y el deporte en el paisaje fortificado</t>
  </si>
  <si>
    <t>Construir dos (2) enlaces peatonales de cordon amurallado</t>
  </si>
  <si>
    <t>Desarrollar dieciséis (16) actividades para la apropiación colectiva del patrimonio y la gobernanza territorial</t>
  </si>
  <si>
    <t>Construir diez (10) obras para la competitividad distintas a vías</t>
  </si>
  <si>
    <t>Rehabilitar sesenta (60) km/carril de la malla vial</t>
  </si>
  <si>
    <t>Construir cuatro (4) km/carril de malla vial</t>
  </si>
  <si>
    <t>Construir tres (3) puentes nuevos en la ciudad</t>
  </si>
  <si>
    <t>Construir un (1) corredor vial de la troncal del sur</t>
  </si>
  <si>
    <t>Construir dos (2) kilómetros de vías urbanas por contribución de Valorización.</t>
  </si>
  <si>
    <t>Construir diez (10) kilómetros de vías rurales</t>
  </si>
  <si>
    <t>Construir diez mil (10.000) metros cuadrados de andenes y/o áreas peatonales</t>
  </si>
  <si>
    <t>Instalar dos mil doscientos ochenta y nueve (2.289) señales verticales</t>
  </si>
  <si>
    <t>Diseñar y demarcar veinte (20) kilómetros de ciclorutas</t>
  </si>
  <si>
    <t>Ampliar una (1) red semafórica de la ciudad</t>
  </si>
  <si>
    <t>Actualizar y normalizar catorce (14) rutas del Transporte Público Colectivo</t>
  </si>
  <si>
    <t>Erradicar diez (10) estaciones de transporte informal</t>
  </si>
  <si>
    <t>Intervenir y mejorar dieciocho (18) puntos críticos de movilidad</t>
  </si>
  <si>
    <t>Diseñar y demarcar Veinte (20) zonas de estacionamiento regulado (ZER)</t>
  </si>
  <si>
    <t>Sustituir ciento diecinueve (119) vehículos de tracción animal dedicados al transporte de cargas livianas</t>
  </si>
  <si>
    <t>Sustituir sesenta (60) vehículos de tracción animal dedicados al servicio turístico</t>
  </si>
  <si>
    <t>Elaborar una (1) caracterización socioeconómica de mototrabajadores</t>
  </si>
  <si>
    <t>Renovar dieciocho (18) estaciones del sistema</t>
  </si>
  <si>
    <t>Renovar un (1) Patio Portal</t>
  </si>
  <si>
    <t>Renovar un (1) carril de solobus</t>
  </si>
  <si>
    <t>Implementar un (1) servicio de seguridad ciudadana en el Sistema Integrado de Transporte Masivo</t>
  </si>
  <si>
    <t>Renovar cuatrocientos ochenta y dos (482) paraderos</t>
  </si>
  <si>
    <t>Modernizar un (1) sistema de recaudo, gestión de flota, información al usuario</t>
  </si>
  <si>
    <t>Implementar veinticinco (25) estrategias para la promoción de la cultura ciudadana y el uso del sistema</t>
  </si>
  <si>
    <t>Diseñar tres (3) estudios técnicos para la evaluación de operación de flota eléctrica, transporte acuático, transporte por cable aéreo</t>
  </si>
  <si>
    <t>Ejecutar tres (3) fases del proyecto de transporte acuático</t>
  </si>
  <si>
    <t>Construir o recuperar diez (10) embarcaderos para el transporte acuático</t>
  </si>
  <si>
    <t>Elaborar estudio para la implementación de la tarifa diferencial en el Sistema</t>
  </si>
  <si>
    <t>Implementar una (1) estrategia para la lucha contra el acoso en el Sistema Integrado de Transporte Masivo</t>
  </si>
  <si>
    <t>Movilizar ciento treinta y siete millones trescientos dos mil novecientos noventa y ocho (137.302.998) pasajeros en el cuatrienio</t>
  </si>
  <si>
    <t>Recuperar cuarenta (40) hectáreas de manglares</t>
  </si>
  <si>
    <t>Extraer ciento cuarenta mil (140.000) metros cúbicos de sedimentos en la Bocana y laguna de Chambacú</t>
  </si>
  <si>
    <t>Formular un (1) estudios de prefactibilidad para la implementación de laboratorio interactivo en un sector del caño Juan Angola</t>
  </si>
  <si>
    <t>Diseñar diez (10) kilómetros de canales.</t>
  </si>
  <si>
    <t>Construir un (1) km de canales.</t>
  </si>
  <si>
    <t>Retirar cien mil (100.000) m3 de material de limpieza en el cuatrienio.</t>
  </si>
  <si>
    <t>Recuperar diez (10) km de bordes de costa de cuerpos de agua</t>
  </si>
  <si>
    <t>Elaborar un (1) documento de acotamiento y priorización de ronda hídrica</t>
  </si>
  <si>
    <t>Recuperar una (1) ronda hídrica priorizada a través del documento de acotamiento</t>
  </si>
  <si>
    <t>Formular, adoptar y hacer seguimiento a un (1) Plan Parcial de Chambacú, Torices, La Unión</t>
  </si>
  <si>
    <t>Formular un (1) Plan Maestro de Caños, Laguna y Ciénagas interiores de la Ciudad y la Bahía de Cartagena</t>
  </si>
  <si>
    <t>Recuperar diez (10) afluentes principales que derivan en la Ciénaga de la Virgen</t>
  </si>
  <si>
    <t>Desarrollar veinte (20) campañas de educación ambiental sobre conservación y protección del espacio verde  para habitantes de zonas aledañas a la Ciénaga de la Virgen</t>
  </si>
  <si>
    <t>Desarrollar dos (2) proyectos de mejoramiento del Sistema Estabilizadora de Mareas</t>
  </si>
  <si>
    <t>Formular e implementar un (1) Plan de Gestión Social y Ambiental de la Ciénaga de la Virgen</t>
  </si>
  <si>
    <t>Formular un (1) estudio y diseño de fase III (factibilidad) para la construcción de la Vía Perimetral</t>
  </si>
  <si>
    <t>Formular y adoptar tres (3) Planes Parciales de Renovación Urbana: R4, R7 y R8</t>
  </si>
  <si>
    <t>Formular un (1) Plan de Mejoramiento Integral de la Boquilla</t>
  </si>
  <si>
    <t>Elaborar estudios detallados de amenaza y riesgo para los territorios delimitados en los Planes Parciales R1, R2, R3, R5 y R6</t>
  </si>
  <si>
    <t>Formular una (1) Operación Territorial – O.T-5 / Frente Costero y Protección de Playas</t>
  </si>
  <si>
    <t>Formular una (1) Operación Territorial – O.T-6 / Bahía de Cartagena – Canal del Dique</t>
  </si>
  <si>
    <t>Formular una (1) Operación Territorial – O.T 12 / Zona Insular</t>
  </si>
  <si>
    <t>Formular y ejecutar los Planes de Mejoramiento Integral de los Centros Poblados insulares de Bocachica, Caño del Oro, Punta Arena, Tierrabomba, Barú, Isla Grande, Santa Cruz del Islote, e Isla Fuerte</t>
  </si>
  <si>
    <t>Diseñar (1) Cartilla de Tipologías de Vivienda Insular o Costera adaptada a los eventos de cambio climático</t>
  </si>
  <si>
    <t>Implementar dos (2) proyectos estratégicos para el mantenimiento de los cuerpos de agua de la ciudad (Borde Social Ambiental Caño Juan Angola y Parque Pescadores de la Bocana)</t>
  </si>
  <si>
    <t>Formular en fase de prefactibilidad cuatro (4) proyectos estratégicos para el mantenimiento de los cuerpos de agua de la ciudad (Restauración ecosocial de cuenca Arroyo Matute, Zona de los canales, Zona de los arroyos, Zona de Caños y Lagos)</t>
  </si>
  <si>
    <t>Elaborar un (1) estudio de clúster para la competitividad regional</t>
  </si>
  <si>
    <t>Diseñar una (1) iniciativa regional de infraestructura de transporte abastecimiento y logística</t>
  </si>
  <si>
    <t>Desarrollar un (1) Servicio de protección del recurso hídrico para Promover inversiones supramunicipales</t>
  </si>
  <si>
    <t>Actualizar un (1) Plan Regional de Competitividad</t>
  </si>
  <si>
    <t>Implementar cuatro (4) acciones que fortalezcan el mejoramiento del clima de negocios</t>
  </si>
  <si>
    <t>Ejecutar cuatro (8) estrategias de acompañamiento de iniciativas clúster y apuestas productivas promisorias</t>
  </si>
  <si>
    <t xml:space="preserve">Beneficiar a mil (1.000)
personas a través del diseño y ejecución de 4 planes de fomento de la cultura de la innovación
</t>
  </si>
  <si>
    <t>Actualizar un (1) Sistema Distrital de Innovación a través de acciones anuales</t>
  </si>
  <si>
    <t>Implementar cuatro (4) Estrategias de posicionamiento “Cartagena Plataforma Exportadora”</t>
  </si>
  <si>
    <t>Asistir cien (100) empresas en programas de exportaciones</t>
  </si>
  <si>
    <t>Generar cuatro (4) alianzas para la promoción de Cartagena como “destino internacional en inversiones y apuestas productivas”</t>
  </si>
  <si>
    <t>Implementar cuatro (4) rutas para la diversificación económica y el desarrollo empresarial</t>
  </si>
  <si>
    <t>Ejecutar cuatro (4) estrategias de fortalecimiento empresarial y generación de encadenamientos productivos</t>
  </si>
  <si>
    <t>Impactar cuatrocientos (400) MiPymes con servicios de fortalecimiento empresarial</t>
  </si>
  <si>
    <t>Implementar un (1) programa de fortalecimiento de comerciantes de sectores estratégicos</t>
  </si>
  <si>
    <t>Habilitar y consolidar sesenta (60) alianzas de cooperantes nacionales e internacionales</t>
  </si>
  <si>
    <t>Habilitar y mapear mil doscientas (1.200) organizaciones para cooperar</t>
  </si>
  <si>
    <t>Consolidar sesenta (60) nuevos negocios verdes</t>
  </si>
  <si>
    <t>Implementar dos (2) plantas para la revalorización de residuos en zonas de tratamiento integral (acopio, transformación, aprovechamiento y comercialización).</t>
  </si>
  <si>
    <t>Implementar cinco (5) proyectos específicos de economía circular con apoyo de cooperantes</t>
  </si>
  <si>
    <t>Desarrollar una (1) investigación para evaluar y redefinir las apuestas productivas de la ciudad en el marco de las tendencias futuras de la economía mundial</t>
  </si>
  <si>
    <t>Elaborar (1) estudio sobre mercado laboral y pertinencia educativa</t>
  </si>
  <si>
    <t>Crear un (1) fondo para la reconversión productiva a emprendimientos de pequeñas y medianas empresas</t>
  </si>
  <si>
    <t>Crear una (1) estrategia de encadenamientos productivos a nivel intersectorial e intrasectorial entre las grandes, medianas y pequeñas empresas</t>
  </si>
  <si>
    <t>Crear y poner en funcionamiento tres (3) Centros de Formación para el Empleo con Enfoque en Ciencia, Tecnología, Innovación y Bilingüismo</t>
  </si>
  <si>
    <t>Vincular a quinientos (500) jóvenes (mujeres, grupos étnicos y víctimas) a estrategias de formación relacionadas a la innovación y la Cuarta Revolución Industrial</t>
  </si>
  <si>
    <t>Implementar cuatro (4) estrategias de acceso a oportunidades del mercado laboral (trabajo formal y formalización del trabajo informal)</t>
  </si>
  <si>
    <t>Crear tres (3) cooperativas que vinculen a: (2) Organizaciones Comunales y (1) organizaciones de víctimas en el desarrollo de oportunidades del mercado laboral</t>
  </si>
  <si>
    <t>Vincular a diez mil (10.000) personas a rutas de empleo y capital humano (al menos 50% mujeres)</t>
  </si>
  <si>
    <t>Vincular cuatrocientos (400) jóvenes estudiantes en la realización de las prácticas laborales y recibiendo auxilios como incentivos, con criterios de paridad de género</t>
  </si>
  <si>
    <t>Vincular cuatrocientos (400) jóvenes graduados sin experiencia laboral a la administración distrital, con criterios de paridad de género</t>
  </si>
  <si>
    <t>Cualificar mil trescientos (1.300) mujeres para la inserción laboral acorde a la pertinencia y necesidades del mercado laboral de la ciudad</t>
  </si>
  <si>
    <t>Implementar cuatro (4) rutas de emprendimiento</t>
  </si>
  <si>
    <t>Ejecutar cuatro (4) planes de comercialización y visibilización de productos de emprendedores</t>
  </si>
  <si>
    <t>Elaborar cuatro (4) estrategias de acompañamiento a emprendimientos y MiPymes para acceso a mecanismos de financiación</t>
  </si>
  <si>
    <t>Intervenir a dos mil (2000) emprendedores con capacidad para emprender</t>
  </si>
  <si>
    <t>Diseñar y ejecutar una (1) estrategia de proveeduría de sectores administrados por el Distrito que vincule la participación de emprendimientos, negocios y/o proyectos productivos liderado por mujeres</t>
  </si>
  <si>
    <t xml:space="preserve">Implementar cuatro (4) estrategias para la promoción de ecosistemas de emprendimiento e innovación
</t>
  </si>
  <si>
    <t>Crear dos (2) microcentros de inteligencia artificial</t>
  </si>
  <si>
    <t>Elaborar una (1) Caracterización socio empresarial de familias vulnerables atendidas en el Distrito.</t>
  </si>
  <si>
    <t>Formar y asistir con fortalecimiento productivo a cuatro mil (4.000) personas vulnerables</t>
  </si>
  <si>
    <t>Desarrollar una (1) feria anual de emprendimiento en el Distrito priorizando mujeres y jóvenes</t>
  </si>
  <si>
    <t>Financiar y formalizar cien (100) negocios y/o proyectos productivos liderados por mujere</t>
  </si>
  <si>
    <t>Formar a dos mil (2.000) jóvenes en emprendimientos e inclusión productiva</t>
  </si>
  <si>
    <t>Apoyar financieramente seiscientos (600) emprendimientos juvenile</t>
  </si>
  <si>
    <t>Formar y certificar a cuatrocientos (400) jóvenes para la vinculación e inserción en el mercado labora</t>
  </si>
  <si>
    <t>Crear cuatro (4) espacios o acciones de promoción para la vinculación laboral de jóvenes al trabajo formal y promoción del primer empleo</t>
  </si>
  <si>
    <t>Formalizar seiscientos (600) vendedores con emprendimiento y creación de pequeña empresa</t>
  </si>
  <si>
    <t>Diseñar seis (6) mobiliarios urbanos para el emprendimiento económico</t>
  </si>
  <si>
    <t>Elaborar cuatro (4) documentos de linemientos para el manejo del sector turismo</t>
  </si>
  <si>
    <t>Poner en funcionamiento seis (6) Centros de Atención al Turista en el Distrito (zona insular y urbana)</t>
  </si>
  <si>
    <t>Entregar trescientos sesenta (360) equipamientos para brigadistas y guardavidas del Distrito</t>
  </si>
  <si>
    <t xml:space="preserve">Vincular a trescientos veinte (320) personas líderes y autoridades turísticas a procesos de formación
</t>
  </si>
  <si>
    <t>Vincular cuatro mil ochocientas veintisiete (4.827) personas a procesos de formación y capacitación formal e informal en asuntos turísticos</t>
  </si>
  <si>
    <t>Vincular a cuatrocientas (400) personas con oportunidades de acceso a rutas de empleo y capital humano en turismo sostenible con paridad de genero</t>
  </si>
  <si>
    <t>Crear e implementar ocho (8) rutas comunitarias</t>
  </si>
  <si>
    <t>Vincular a ochenta (80) personas a asistencia técnica para el fortalecimiento de la actividad artesanal</t>
  </si>
  <si>
    <t>Entregar quinientos (500) activos productivos a prestadores de servicios turísticos</t>
  </si>
  <si>
    <t>Implementar acciones de sostenibilidad ambiental en dos (2) atractivos turísticos</t>
  </si>
  <si>
    <t>Cofinanciar cuatro (4) proyectos para la actividad turística</t>
  </si>
  <si>
    <t>Obtener dos (2) certificaciones turísticas</t>
  </si>
  <si>
    <t>Crear un (1) Portal Único de Información Turística sobre la Oferta Turística</t>
  </si>
  <si>
    <t>Crear e implementar una (1) Tecnologia de destino turistica inteligente</t>
  </si>
  <si>
    <t>Implementar cinco (5) alianzas con universidades para la formacion y profesionalizacion de actores turisticos</t>
  </si>
  <si>
    <t>Promover y desarrollar ocho (8) eventos turísticos náuticos en la zona insular y urbana del Distrito</t>
  </si>
  <si>
    <t>Desarrollar cuatro (4) campañas de divulgación para la promoción turística y conectividad</t>
  </si>
  <si>
    <t>Participar en sesenta (60) eventos especializados</t>
  </si>
  <si>
    <t>Desarrollar cuatro (4) productos turísticos</t>
  </si>
  <si>
    <t>Implementar cinco (5) eventos de ciudad</t>
  </si>
  <si>
    <t>Dotar, adecuar, mejorar, mantener y/o construir nueve (9) infraestructuras turísticas</t>
  </si>
  <si>
    <t>Elaborar dos (2) estudios de preinversión para proyectos turísticos</t>
  </si>
  <si>
    <t>Instalar ochenta (80) señalizaciones turísticas en 2 playas y/o espacios turísticos</t>
  </si>
  <si>
    <t>Implementar acciones de mantenimiento en veinticinco (25) infraestructuras turísticas para prestar servicios de vigilancia, control y seguridad a los turistas</t>
  </si>
  <si>
    <t>Consolidar una (1) entidad para el desarrollo y sostenibilidad turística</t>
  </si>
  <si>
    <t>Crear un (1) Observatorio de Turismo</t>
  </si>
  <si>
    <t>Elaborar un (1) documento de Planificación de Ordenamiento de Playas</t>
  </si>
  <si>
    <t>Desarrollar diez (10) procesos productivos de agricultura campesina familiar y comunitaria</t>
  </si>
  <si>
    <t>Atender a mil setecientos sesenta y siete (1.767) mujeres rurales con servicios de extensión agropecuari</t>
  </si>
  <si>
    <t>Atender a doscientas (200) mujeres afro rurales con servicios de extensión agropecuaria</t>
  </si>
  <si>
    <t>Atender a cien (100) mujeres indígena en el fortalecimiento de las actividades propias</t>
  </si>
  <si>
    <t>Implementar tres (3) circuitos cortos de comercialización</t>
  </si>
  <si>
    <t>Formular y ejecutar un (1) Plan de Extensión Agropecuaria del Distrito</t>
  </si>
  <si>
    <t>Atender a tres mil seiscientos cincuenta y dos (3.652) productores con servicios de extensión agropecuaria</t>
  </si>
  <si>
    <t>Consolidar dos (2) encadenamientos y/o cadenas productivas para garantizar el derecho humano a la alimentación</t>
  </si>
  <si>
    <t>Dotar veinte (20) de pescadores (pertenecientes a grupos étnicos)</t>
  </si>
  <si>
    <t>Formular y ejecutar tres (3) procesos productivos en producción, reproducción y mejoramiento genético (bovina y/o especies menores)</t>
  </si>
  <si>
    <t>Crear cuatro (4) procesos asociativos para fortalecer las capacidades y competencias agropecuarias</t>
  </si>
  <si>
    <t>Asistir veinte (20) emprendimientos rurales orientados a la generación de valor agregad</t>
  </si>
  <si>
    <t>Implementar cuatro (4) alianzas y/o convenios interadministrativos para la dotación de infraestructura física y/o activos productivos de carácter público</t>
  </si>
  <si>
    <t>Implementar una (1) solución alternativa de fuentes de agua en zonas de producción agrícola para mitigar el cambio climático</t>
  </si>
  <si>
    <t>Formular e implementar dos (2) proyectos de maricultura</t>
  </si>
  <si>
    <t>Desarrollar cuatro (4) acciones para el fortalecimiento de la mujer en el ejercicio de la pesca</t>
  </si>
  <si>
    <t>Crear un (1) Centro de Acopio Integral</t>
  </si>
  <si>
    <t>Crear una (1) escuela de pescadores de saberes ancestrales</t>
  </si>
  <si>
    <t>Elaborar (1) prueba bromatológica en los peces de la bahía de Cartagena.</t>
  </si>
  <si>
    <t>Elaborar (1) prueba ambientales en los peces de la bahía de Cartagena.</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</si>
  <si>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Ejecución) 
</t>
  </si>
  <si>
    <t>Formalizar a ciento setenta y seis (176) O.E.P. reubicados al interior del mercado</t>
  </si>
  <si>
    <t>Formalizar a seiscientos cuarenta y siete (647) O.E.P. de zonas no intervenidas en el mercado de Bazurto pendientes por formalizar en mercados sectoriales</t>
  </si>
  <si>
    <t>Actualizar dos (2) documentos normativos que rigen la operación de la plaza de mercados</t>
  </si>
  <si>
    <t>Implementar dos (2) Plan Gestión: 1. Ambiental, 2. Administrativa operativa y jurídica del Sistema de Mercados</t>
  </si>
  <si>
    <t>Intervenir o mantener quinientos (500) metros cuadrados de infraestructura de las plazas de mercado que conforman el Sistema Integral de Abastecimiento del Distrito</t>
  </si>
  <si>
    <t>Demarcar ciento noventa (190,58) kilómetros de marcas longitudinales</t>
  </si>
  <si>
    <t>SECRETARÍA DE INFRAESTRUCTURA - EDURBE</t>
  </si>
  <si>
    <t>TOTAL METAS PRODUCTO PDD 2024 -2027</t>
  </si>
  <si>
    <t xml:space="preserve">PARTICIPACIÓN DE METAS PRODUCTO </t>
  </si>
  <si>
    <t>GEPM (GERENCIA DE ESPACIO PÚBLICO Y MOVILIDAD)</t>
  </si>
  <si>
    <t>GEPM (GERENCIA DE ESPACIO PÚBLICO Y MOVILIDAD) - SECRETARÍA DE INFRAESTRUCTURA</t>
  </si>
  <si>
    <t>DATT - GEPM (GERENCIA DE ESPACIO PÚBLICO Y MOVILIDAD)</t>
  </si>
  <si>
    <t>SECRETARÍA DE PLANEACIÓN - EPA</t>
  </si>
  <si>
    <t>Crear e implementar cuatro (4) estrategias de formación en cultura tributaria</t>
  </si>
  <si>
    <t>Número de estrategias de formación en cultura tributaria creadas e implementadas</t>
  </si>
  <si>
    <t xml:space="preserve">SECRETARÍA GENERAL
COOPERACIÓN INTERNACIONAL
</t>
  </si>
  <si>
    <t>SECRETARÍA GENERAL  - COOPERACIÓN INTERNACIONAL</t>
  </si>
  <si>
    <t>SECRETARÍA GENERAL - Corporación Museo Histórico de Cartagena</t>
  </si>
  <si>
    <t>ESCUELA DE GOBIERNO Y LIDERAZGO - Oficina Asesora de Control Interno</t>
  </si>
  <si>
    <t>SECRETARÍA GENERAL - Oficina Asesora Jurídica</t>
  </si>
  <si>
    <t>No Programada por el Colegio Mayor para la vigencia  2024</t>
  </si>
  <si>
    <t>OFICINA ASESORA PARA LA GESTIÓN DE RIESGO DE DESASTRE  / Oficina de Informática de la Alcaldía Distrital de Cartagena</t>
  </si>
  <si>
    <t xml:space="preserve">OFICINA ASESORA PARA LA GESTIÓN DE RIESGO DE DESASTRE - SECRETARÍA DE INFRAESTRUCTURA </t>
  </si>
  <si>
    <t>DISTRISEGURIDAD - SECRETARÍA DEL INTERIOR Y CONVIVENCIA CIUDADANA</t>
  </si>
  <si>
    <t>Diseñar e implementar anualmente cuatro (4) nuevas estrategias de fortalecimiento tributario en el Distrito</t>
  </si>
  <si>
    <t xml:space="preserve"> SECRETARÍA DEL INTERIOR Y CONVIVENCIA CIUDADANA - DISTRISEGURIDAD </t>
  </si>
  <si>
    <t>Número de personas con discapacidad vinculadas a rutas de empleo</t>
  </si>
  <si>
    <t>Vincular a sesenta (60) personas con discapacidad a rutas de empleo</t>
  </si>
  <si>
    <t>SECRETARÍA DE PARTICIPACIÓN Y DESARROLLO SOCIAL - SECRETARÍA DEL INTERIOR Y CONVIVENCIA CIUDADANA</t>
  </si>
  <si>
    <t>SECRETARÍA DE INFRAESTRUCTURA -  EDURBE</t>
  </si>
  <si>
    <t xml:space="preserve">GEPM (GERENCIA DE ESPACIO PÚBLICO Y MOVILIDAD) - SECRETARÍA DE INTERIOR </t>
  </si>
  <si>
    <t>PROGRAMADO CORTE  2024 RESPECTO AL CUATRIENIO 2024 -2027 (PONDERADOR)</t>
  </si>
  <si>
    <t xml:space="preserve">Componente Impulsor del avance: Transparencia y Gobierno Abierto
</t>
  </si>
  <si>
    <t>PLAN DE DESARROLLO CARTAGENA CIUDAD DE DERECHOS 2024 - 2027</t>
  </si>
  <si>
    <t>Ete programa se ajusta el avance, ya que para el primer año, solo se programaron dos metas, por lo tanto, solo se  incluye el avance sobre 12 metas y no 2, para la priemra vigencia 2024. se colocó 12,5% de avance en el cuatrienio</t>
  </si>
  <si>
    <t>META CUMPLIDA</t>
  </si>
  <si>
    <t xml:space="preserve"> SEGURIDAD HUMANA
</t>
  </si>
  <si>
    <t xml:space="preserve"> PLAN ESTRATÉGICO DE SEGURIDAD INTEGRAL TITAN 24</t>
  </si>
  <si>
    <t>EL CUERPO DE BOMBEROS AVANZA</t>
  </si>
  <si>
    <t>SEGURIDAD YA CON DOTACIÓN A LOS ORGANISMOS DE SEGURIDAD, SOCORRO, JUSTICIA Y CONVIVENCIA Y TECNOLOGÍA PARA LA PREVENCIÓN</t>
  </si>
  <si>
    <t xml:space="preserve"> SEGURIDAD YA EN LAS PLAYAS DE CARTAGENA</t>
  </si>
  <si>
    <t xml:space="preserve"> EDUCACIÓN, CULTURA Y SEGURIDAD VIAL PARA AVANZAR</t>
  </si>
  <si>
    <t xml:space="preserve"> UNA VIDA LIBRE DE VIOLENCIA PARA LAS MUJERES</t>
  </si>
  <si>
    <t xml:space="preserve"> DERECHO A LA PAZ Y CONVIVENCIA CON EQUIDAD DE GÉNERO</t>
  </si>
  <si>
    <t>CARTAGENA AVANZA EN CONVIVENCIA</t>
  </si>
  <si>
    <t xml:space="preserve"> AVANZANDO EN EL FORTALECIMIENTO DE CASAS DE JUSTICIA, COMISARÍAS DE FAMILIA E INSPECCIONES DE POLICÍA</t>
  </si>
  <si>
    <t xml:space="preserve"> ATENCIÓN INTEGRAL A JÓVENES EN SITUACIÓN DE RIESGO SOCIAL</t>
  </si>
  <si>
    <t>ASISTENCIA, ATENCIÓN Y REPARACIÓN EFECTIVA E INTEGRAL A LAS VÍCTIMAS DEL CONFLICTO ARMADO</t>
  </si>
  <si>
    <t>DERECHOS HUMANOS PARA LA VIDA DIGNA</t>
  </si>
  <si>
    <t>SISTEMA PENITENCIARIO Y CARCELARIO EN EL MARCO DE LOS DERECHOS HUMANOS</t>
  </si>
  <si>
    <t xml:space="preserve"> SALUD CON COBERTURA, ACCESIBILIDAD, CALIDAD E INCLUSIÓN</t>
  </si>
  <si>
    <t xml:space="preserve"> DERECHOS EN SALUD Y PROMOCIÓN SOCIAL</t>
  </si>
  <si>
    <t xml:space="preserve"> FORTALECIMIENTO DEL CENTRO REGULADOR DE URGENCIAS, EMERGENCIAS Y DESASTRES EN EL DISTRITO DE CARTAGENA - CRUED</t>
  </si>
  <si>
    <t xml:space="preserve"> SALUD PÚBLICA</t>
  </si>
  <si>
    <t xml:space="preserve"> CEMENTERIOS</t>
  </si>
  <si>
    <t xml:space="preserve"> FORTALECIMIENTO A LA PROTECCIÓN DIGNA DE LAS PERSONAS MAYORES EN EL DISTRITO DE CARTAGENA</t>
  </si>
  <si>
    <t xml:space="preserve"> ASISTENCIA SOCIAL E INCLUYENTE A LAS PERSONAS CON DISCAPACIDAD Y/O SU FAMILIA O CUIDADORES PARA LA SEGURIDAD HUMANA Y BIENESTAR SOCIAL</t>
  </si>
  <si>
    <t xml:space="preserve"> UNIDOS PARA LA INCLUSIÓN PRODUCTIVA DE LAS PERSONAS CON DISCAPACIDAD</t>
  </si>
  <si>
    <t xml:space="preserve"> CIUDADANOS HABITANTES DE CALLE CON PROTECCIÓN SOCIAL Y GARANTÍA DE DERECHOS</t>
  </si>
  <si>
    <t>ATENCIÓN INTEGRAL AL MIGRANTE</t>
  </si>
  <si>
    <t>CARTAGENA DIVERSA</t>
  </si>
  <si>
    <t>SISTEMA DISTRITAL DEL CUIDADO</t>
  </si>
  <si>
    <t xml:space="preserve"> IDENTIFICACIÓN PARA LA SUPERACIÓN DE LA POBREZA EXTREMA</t>
  </si>
  <si>
    <t xml:space="preserve"> SALUD PARA LA SUPERACIÓN DE LA POBREZA EXTREMA</t>
  </si>
  <si>
    <t>EDUCACIÓN PARA LA SUPERACIÓN DE LA POBREZA EXTREMA</t>
  </si>
  <si>
    <t>HABITABILIDAD PARA LA SUPERACIÓN DE LA POBREZA EXTREMA</t>
  </si>
  <si>
    <t>INGRESO Y TRABAJO PARA LA SUPERACIÓN DE LA POBREZA EXTREMA</t>
  </si>
  <si>
    <t xml:space="preserve"> BANCARIZACIÓN PARA LA SUPERACIÓN DE LA POBREZA EXTREMA</t>
  </si>
  <si>
    <t xml:space="preserve"> DINÁMICA FAMILIAR PARA LA SUPERACIÓN DE LA POBREZA EXTREMA</t>
  </si>
  <si>
    <t xml:space="preserve"> SEGURIDAD ALIMENTARIA Y NUTRICIÓN PARA LA SUPERACIÓN DE LA POBREZA EXTREMA</t>
  </si>
  <si>
    <t>ACCESO A LA JUSTICIA PARA LA SUPERACIÓN DE LA POBREZA EXTREMA</t>
  </si>
  <si>
    <t xml:space="preserve"> FORTALECIMIENTO INSTITUCIONAL DE RENTA CIUDADANA, RENTA JOVEN Y COLOMBIA MAYOR PARA LA SUPERACIÓN DE LA POBREZA EXTREMA</t>
  </si>
  <si>
    <t xml:space="preserve"> FORTALECIMIENTO INSTITUCIONAL PARA LA SUPERACIÓN DE LA POBREZA EXTREMA</t>
  </si>
  <si>
    <t>SALUD PÚBLICA</t>
  </si>
  <si>
    <t>CEMENTERIOS</t>
  </si>
  <si>
    <t xml:space="preserve"> ATENCIÓN INTEGRAL AL MIGRANTE</t>
  </si>
  <si>
    <t xml:space="preserve"> CARTAGENA DIVERSA</t>
  </si>
  <si>
    <t xml:space="preserve"> SISTEMA DISTRITAL DEL CUIDADO</t>
  </si>
  <si>
    <t xml:space="preserve"> EDUCACIÓN PARA LA SUPERACIÓN DE LA POBREZA EXTREMA</t>
  </si>
  <si>
    <t xml:space="preserve"> HABITABILIDAD PARA LA SUPERACIÓN DE LA POBREZA EXTREMA</t>
  </si>
  <si>
    <t xml:space="preserve"> INGRESO Y TRABAJO PARA LA SUPERACIÓN DE LA POBREZA EXTREMA</t>
  </si>
  <si>
    <t xml:space="preserve"> ACCESO A LA JUSTICIA PARA LA SUPERACIÓN DE LA POBREZA EXTREMA</t>
  </si>
  <si>
    <t xml:space="preserve"> Educación
</t>
  </si>
  <si>
    <t xml:space="preserve"> VIDA DIGNA
</t>
  </si>
  <si>
    <t>MODERNIZACIÓN DE LA INFRAESTRUCTURA EDUCATIVA</t>
  </si>
  <si>
    <t xml:space="preserve"> AVANZANDO DESDE EL COMIENZO</t>
  </si>
  <si>
    <t>ME QUEDO PORQUE ME QUEDO</t>
  </si>
  <si>
    <t xml:space="preserve"> YO CUENTO</t>
  </si>
  <si>
    <t xml:space="preserve"> ESCUELA HOGAR</t>
  </si>
  <si>
    <t xml:space="preserve"> CARTAGENA TERRITORIO PLURILINGÜE</t>
  </si>
  <si>
    <t>CARTAGENA MEJOR EDUCADA</t>
  </si>
  <si>
    <t xml:space="preserve"> LEVANTEMOS LA VOZ</t>
  </si>
  <si>
    <t xml:space="preserve"> AULA GLOBAL</t>
  </si>
  <si>
    <t xml:space="preserve"> FORMACIÓN Y CUALIFICACIÓN DE DOCENTES Y DIRECTIVOS DOCENTES</t>
  </si>
  <si>
    <t xml:space="preserve"> FORTALECIMIENTO DE LA GESTIÓN ESCOLAR EN LAS INSTITUCIONES EDUCATIVAS OFICIALES</t>
  </si>
  <si>
    <t>UNIDOS POR EL SUEÑO SUPERIOR</t>
  </si>
  <si>
    <t>CARTAGENA, TERRITORIO DIGITAL</t>
  </si>
  <si>
    <t>OFERTA ACADÉMICA SUPERIOR CON CALIDAD</t>
  </si>
  <si>
    <t>FORMACIÓN TÉCNICA Y COMPLEMENTARIA EN OFICIOS</t>
  </si>
  <si>
    <t xml:space="preserve"> Acceso a Servicios Básicos
</t>
  </si>
  <si>
    <t>ACCESO AL AGUA POTABLE Y SANEAMIENTO BÁSICO</t>
  </si>
  <si>
    <t>AVANZAMOS POR UNA CARTAGENA ILUMINADA Y LA TRANSICIÓN ENERGÉTICA</t>
  </si>
  <si>
    <t>UNIDOS POR LA GESTIÓN DE LOS RESIDUOS Y EL DESARROLLO SOSTENIBLE</t>
  </si>
  <si>
    <t xml:space="preserve"> Vivienda Digna y Hábitat
</t>
  </si>
  <si>
    <t xml:space="preserve"> UNIDOS POR UNA VIVIENDA PARA TI</t>
  </si>
  <si>
    <t>MI CASA AVANZA</t>
  </si>
  <si>
    <t>MI CASA CON PROPIEDAD</t>
  </si>
  <si>
    <t xml:space="preserve"> MI TERRITORIO EN ORDEN</t>
  </si>
  <si>
    <t xml:space="preserve">Artes, Cultura y Patrimonio
</t>
  </si>
  <si>
    <t xml:space="preserve"> ESCENARIOS CULTURALES VIVOS PARA TRANSFORMAR</t>
  </si>
  <si>
    <t xml:space="preserve"> DEMOCRATIZACIÓN DE LA CULTURA: ESTÍMULOS PARA EL FOMENTO Y DESARROLLO ARTÍSTICO, CULTURAL Y CREATIVO.</t>
  </si>
  <si>
    <t xml:space="preserve"> FORMACIÓN ARTÍSTICA Y CULTURAL</t>
  </si>
  <si>
    <t xml:space="preserve"> DERECHOS CULTURALES Y FORTALECIMIENTO INSTITUCIONAL PARA LA GOBERNANZA</t>
  </si>
  <si>
    <t xml:space="preserve"> CARTAGENA BRILLA CON SU CULTURA Y PATRIMONIO MATERIAL E INMATERIAL</t>
  </si>
  <si>
    <t xml:space="preserve"> MEMORIA Y PATRIMONIO AL SERVICIO DE LA CIUDADANÍA</t>
  </si>
  <si>
    <t xml:space="preserve">Deporte y Recreación
</t>
  </si>
  <si>
    <t xml:space="preserve"> FORTALECIMIENTO Y MANTENIMIENTO DE LA RED DE INFRAESTRUCTURA DEPORTIVA DEL DISTRITO</t>
  </si>
  <si>
    <t xml:space="preserve"> FOMENTO AL DEPORTE DE ALTO RENDIMIENTO</t>
  </si>
  <si>
    <t>FORTALECIMIENTO DEL CAPITAL HUMANO A TRAVÉS DE LAS CIENCIAS APLICADAS AL DEPORTE Y LA RECREACIÓN.</t>
  </si>
  <si>
    <t xml:space="preserve"> FORTALECIMIENTO DEL DEPORTE FORMATIVO, ESTUDIANTIL Y LA EDUCACIÓN FÍSICA EXTRAESCOLAR</t>
  </si>
  <si>
    <t xml:space="preserve"> FORTALECIMIENTO DEL DEPORTE SOCIAL COMUNITARIO, AVANZAR EN NUESTRO TERRITORIO</t>
  </si>
  <si>
    <t>PROMOCIÓN DE HÁBITOS Y ESTILOS DE VIDA SALUDABLE, RECREACIÓN, ACTIVIDAD FÍSICA Y EL APROVECHAMIENTO DEL TIEMPO LIBRE EN EL DISTRITO DE CARTAGENA</t>
  </si>
  <si>
    <t xml:space="preserve"> CARTAGENA CIUDAD DESTINO DE TURISMO DEPORTIVO</t>
  </si>
  <si>
    <t xml:space="preserve"> Infancia, Adolescencia y Familia
</t>
  </si>
  <si>
    <t xml:space="preserve"> ENTORNOS SEGUROS PARA LA PRIMERA INFANCIA</t>
  </si>
  <si>
    <t>AVANZANDO HACIA UNA INFANCIA Y ADOLESCENCIA PROTEGIDA Y SIN VIOLENCIAS</t>
  </si>
  <si>
    <t>JUGANDO Y PARTICIPANDO LOS DERECHOS DE LA NIÑEZ VAMOS IMPULSANDO</t>
  </si>
  <si>
    <t xml:space="preserve"> MODERNIZACIÓN DE LA INFRAESTRUCTURA EDUCATIVA</t>
  </si>
  <si>
    <t xml:space="preserve"> ME QUEDO PORQUE ME QUEDO</t>
  </si>
  <si>
    <t xml:space="preserve"> CARTAGENA MEJOR EDUCADA</t>
  </si>
  <si>
    <t xml:space="preserve"> UNIDOS POR EL SUEÑO SUPERIOR</t>
  </si>
  <si>
    <t xml:space="preserve"> AVANZAMOS EN EL FORTALECIMIENTO INSTITUCIONAL DE LA SECRETARÍA DE EDUCACIÓN</t>
  </si>
  <si>
    <t xml:space="preserve"> CARTAGENA, TERRITORIO DIGITAL</t>
  </si>
  <si>
    <t xml:space="preserve"> OFERTA ACADÉMICA SUPERIOR CON CALIDAD</t>
  </si>
  <si>
    <t xml:space="preserve"> FORMACIÓN TÉCNICA Y COMPLEMENTARIA EN OFICIOS</t>
  </si>
  <si>
    <t xml:space="preserve"> ACCESO AL AGUA POTABLE Y SANEAMIENTO BÁSICO</t>
  </si>
  <si>
    <t xml:space="preserve"> AVANZAMOS POR UNA CARTAGENA ILUMINADA Y LA TRANSICIÓN ENERGÉTICA</t>
  </si>
  <si>
    <t xml:space="preserve"> UNIDOS POR LA GESTIÓN DE LOS RESIDUOS Y EL DESARROLLO SOSTENIBLE</t>
  </si>
  <si>
    <t xml:space="preserve"> MI CASA AVANZA</t>
  </si>
  <si>
    <t xml:space="preserve"> MI CASA CON PROPIEDAD</t>
  </si>
  <si>
    <t xml:space="preserve"> FORTALECIMIENTO DEL CAPITAL HUMANO A TRAVÉS DE LAS CIENCIAS APLICADAS AL DEPORTE Y LA RECREACIÓN.</t>
  </si>
  <si>
    <t xml:space="preserve"> PROMOCIÓN DE HÁBITOS Y ESTILOS DE VIDA SALUDABLE, RECREACIÓN, ACTIVIDAD FÍSICA Y EL APROVECHAMIENTO DEL TIEMPO LIBRE EN EL DISTRITO DE CARTAGENA</t>
  </si>
  <si>
    <t xml:space="preserve"> AVANZANDO HACIA UNA INFANCIA Y ADOLESCENCIA PROTEGIDA Y SIN VIOLENCIAS</t>
  </si>
  <si>
    <t xml:space="preserve"> JUGANDO Y PARTICIPANDO LOS DERECHOS DE LA NIÑEZ VAMOS IMPULSANDO</t>
  </si>
  <si>
    <t xml:space="preserve"> UNIDOS POR UNA CARTAGENA COMPETITIVA E INNOVADORA</t>
  </si>
  <si>
    <t xml:space="preserve"> CARTAGENA GLOBAL</t>
  </si>
  <si>
    <t xml:space="preserve"> UNIDOS POR LA DIVERSIFICACIÓN ECONÓMICA Y EL DESARROLLO EMPRESARIAL</t>
  </si>
  <si>
    <t xml:space="preserve"> COOPERACIÓN PARA AVANZAR</t>
  </si>
  <si>
    <t xml:space="preserve"> ECONOMÍA CIRCULAR Y NEGOCIOS VERDES</t>
  </si>
  <si>
    <t xml:space="preserve"> TRANSFORMACIÓN PRODUCTIVA</t>
  </si>
  <si>
    <t xml:space="preserve"> EMPLEO Y CAPITAL HUMANO</t>
  </si>
  <si>
    <t xml:space="preserve"> MI PRIMERA CHAMBA</t>
  </si>
  <si>
    <t xml:space="preserve"> DERECHO AL TRABAJO EN CONDICIONES DE IGUALDAD Y DIGNIDAD PARA LA MUJER</t>
  </si>
  <si>
    <t xml:space="preserve"> AVANZAMOS CON CAPACIDADES EMPRENDEDORAS</t>
  </si>
  <si>
    <t xml:space="preserve"> AVANZAMOS PARA FORTALECER LA ECONOMÍA POPULAR Y GENERAR MEJORES INGRESOS PARA NUESTRAS FAMILIAS</t>
  </si>
  <si>
    <t xml:space="preserve"> CARTAGENA FOMENTA LA INCLUSIÓN PRODUCTIVA JUVENIL</t>
  </si>
  <si>
    <t xml:space="preserve"> FOMENTO EMPRESARIAL Y DESARROLLO SOSTENIBLE</t>
  </si>
  <si>
    <t xml:space="preserve"> SEGURIDAD, VIGILANCIA Y CONTROL PARA UN TURISMO RESPONSABLE</t>
  </si>
  <si>
    <t xml:space="preserve"> TURISMO SOSTENIBLE E INCLUYENTE CON LAS COMUNIDADES</t>
  </si>
  <si>
    <t xml:space="preserve"> PROMOCIÓN TURÍSTICA</t>
  </si>
  <si>
    <t xml:space="preserve"> INFRAESTRUCTURA TURÍSTICA PARA EL DESARROLLO</t>
  </si>
  <si>
    <t xml:space="preserve"> GOBERNANZA Y FORTALECIMIENTO INSTITUCIONAL PARA UNA CIUDAD DE DERECHOS, RESPONSABLE Y COMPETITIVA</t>
  </si>
  <si>
    <t xml:space="preserve"> INCLUSIÓN PRODUCTIVA Y SOCIAL DE LA AGRICULTURA CAMPESINA, FAMILIAR Y COMUNITARIA</t>
  </si>
  <si>
    <t xml:space="preserve"> EXTENSIÓN AGROPECUARIA, INFRAESTRUCTURA Y ACTIVOS PRODUCTIVOS PARA LA COMPETITIVIDAD AGROPECUARIA Y LA SOBERANÍA ALIMENTARIA</t>
  </si>
  <si>
    <t xml:space="preserve"> CARTAGENA CIUDAD DE PESCADORES</t>
  </si>
  <si>
    <t xml:space="preserve"> DESARROLLO DEL NUEVO SISTEMA DE MERCADOS DEL DISTRITO</t>
  </si>
  <si>
    <t xml:space="preserve"> GESTIÓN INTEGRAL DEL SISTEMA DE MERCADOS</t>
  </si>
  <si>
    <t xml:space="preserve"> INSTRUMENTOS DE PLANIFICACIÓN TERRITORIAL</t>
  </si>
  <si>
    <t xml:space="preserve"> RECUPERACIÓN Y TRANSFORMACIÓN DEL ESPACIO PÚBLICO</t>
  </si>
  <si>
    <t xml:space="preserve"> RECUPERANDO LA GOBERNANZA URBANÍSTICA, CARTAGENA VUELVE A BRILLAR</t>
  </si>
  <si>
    <t xml:space="preserve"> CARTAGENA AVANZA EN EL FORTALECIMIENTO DEL PLAN DE NORMALIZACIÓN URBANÍSTICA</t>
  </si>
  <si>
    <t xml:space="preserve"> BIENESTAR ANIMAL Y PROTECCIÓN DE LA VIDA SILVESTRE</t>
  </si>
  <si>
    <t xml:space="preserve"> GESTIÓN Y CONSERVACIÓN DE LA VEGETACIÓN Y LA BIODIVERSIDAD</t>
  </si>
  <si>
    <t xml:space="preserve"> ALERTAS TEMPRANAS</t>
  </si>
  <si>
    <t xml:space="preserve"> INVESTIGACIÓN, EDUCACIÓN Y CULTURA AMBIENTAL</t>
  </si>
  <si>
    <t xml:space="preserve"> GENERACIÓN DE ESPACIOS PÚBLICOS REVITALIZADOS Y ADAPTADOS PARA TODOS</t>
  </si>
  <si>
    <t xml:space="preserve"> ORDENAMIENTO Y SOSTENIBILIDAD AMBIENTAL</t>
  </si>
  <si>
    <t xml:space="preserve"> CONOCIMIENTO DEL RIESGO</t>
  </si>
  <si>
    <t xml:space="preserve"> REDUCCIÓN DEL RIESGO</t>
  </si>
  <si>
    <t xml:space="preserve"> MANEJO DE DESASTRES</t>
  </si>
  <si>
    <t xml:space="preserve"> PROTECCIÓN COSTERA</t>
  </si>
  <si>
    <t xml:space="preserve"> ADAPTACIÓN DEL ESPACIO PÚBLICO AL CAMBIO CLIMÁTICO</t>
  </si>
  <si>
    <t xml:space="preserve"> SOSTENIBILIDAD DEL ESPACIO PÚBLICO DEL CENTRO HISTÓRICO DE CARTAGENA DE INDIAS.</t>
  </si>
  <si>
    <t xml:space="preserve"> CONEXIÓN ENTRE EL CASTILLO DE SAN FELIPE DE BARAJAS Y SU ÁREA DE INFLUENCIA PARA LA RECUPERACIÓN DEL PATRIMONIO ARQUEOLÓGICO, MATERIAL E INMATERIAL</t>
  </si>
  <si>
    <t xml:space="preserve"> MURALLA PARA TODOS</t>
  </si>
  <si>
    <t xml:space="preserve"> INTERVENCIONES URBANAS INTEGRALES</t>
  </si>
  <si>
    <t xml:space="preserve"> REHABILITACIÓN, MANTENIMIENTO, ADECUACIÓN, Y OBRA NUEVA PARA EL SISTEMA VIAL Y ESTRUCTURAS DE PASO</t>
  </si>
  <si>
    <t xml:space="preserve"> SOLUCIONES VIALES PARA LA COMPETITIVIDAD A TRAVÉS DE CONTRIBUCIÓN POR VALORIZACIÓN</t>
  </si>
  <si>
    <t xml:space="preserve"> MOVILIDAD ORDENADA, SOSTENIBLE Y AMIGABLE CON EL MEDIO AMBIENTE</t>
  </si>
  <si>
    <t xml:space="preserve"> TRANSPORTE MASIVO CONFIABLE, EFICIENTE Y SOSTENIBLE</t>
  </si>
  <si>
    <t xml:space="preserve"> GESTIÓN Y CONSERVACIÓN DEL AGUA</t>
  </si>
  <si>
    <t xml:space="preserve"> RECUPERACIÓN DEL SISTEMA DE CANALES Y DRENAJES PLUVIALES</t>
  </si>
  <si>
    <t xml:space="preserve"> RECUPERACIÓN Y ESTABILIZACIÓN DEL SISTEMA HÍDRICO Y LITORAL DE CARTAGENA</t>
  </si>
  <si>
    <t xml:space="preserve"> PLAN DE RESTAURACIÓN INTEGRAL DE LA CIÉNAGA DE LA VIRGEN</t>
  </si>
  <si>
    <t xml:space="preserve"> GESTIÓN DEL TERRITORIO MARINO-COSTERO</t>
  </si>
  <si>
    <t xml:space="preserve"> PROMOCIÓN, CREACIÓN Y OPERACIÓN DE ESQUEMAS ASOCIATIVOS TERRITORIALES DE LA CIUDAD REGIÓN</t>
  </si>
  <si>
    <t xml:space="preserve"> PROCESOS ADMINISTRATIVOS ÓPTIMOS Y TRANSPARENTES</t>
  </si>
  <si>
    <t xml:space="preserve"> TRANSPARENCIA Y LUCHA CONTRA LA CORRUPCIÓN</t>
  </si>
  <si>
    <t xml:space="preserve"> CARTAGENA DIGITAL, INCLUSIVA Y CONECTADA</t>
  </si>
  <si>
    <t xml:space="preserve"> MODELO INTEGRADO DE PLANEACIÓN Y GESTIÓN - MIPG</t>
  </si>
  <si>
    <t xml:space="preserve"> MEJORA NORMATIVA EN EL DISTRITO DE CARTAGENA DE INDIAS</t>
  </si>
  <si>
    <t xml:space="preserve"> PATRIMONIO PÚBLICO AL SERVICIO DE CARTAGENA</t>
  </si>
  <si>
    <t xml:space="preserve"> REDISEÑO INSTITUCIONAL E INNOVACIÓN ADMINISTRATIVA DEL DISTRITO</t>
  </si>
  <si>
    <t xml:space="preserve"> SEGURIDAD DIGITAL</t>
  </si>
  <si>
    <t xml:space="preserve"> TRANSFORMACIÓN DIGITAL DEL SISTEMA DE ARCHIVO PARA LA GESTIÓN PÚBLICA EFICIENTE</t>
  </si>
  <si>
    <t xml:space="preserve"> FORTALECIMIENTO DEL SISTEMA DE CONTROL INTERNO, SCI</t>
  </si>
  <si>
    <t xml:space="preserve"> FORTALECIMIENTO DE LA GESTIÓN ADMINISTRATIVA Y OPERATIVA DEL DEPARTAMENTO ADMINISTRATIVO DE TRÁNSITO Y TRANSPORTE - DATT</t>
  </si>
  <si>
    <t xml:space="preserve"> GESTIÓN FISCAL Y FINANCIERA OPORTUNA</t>
  </si>
  <si>
    <t xml:space="preserve"> HACIENDA MODERNA Y DIGITAL</t>
  </si>
  <si>
    <t xml:space="preserve"> SERVIDORES CON ESPLENDOR CONSTRUYENDO CIUDAD</t>
  </si>
  <si>
    <t xml:space="preserve"> CIUDADANÍA DIVERSA, PARTICIPATIVA Y PROPULSORA DEL DESARROLLO</t>
  </si>
  <si>
    <t xml:space="preserve"> CARTAGENEIDAD CON ORGULLO Y ESPLENDOR</t>
  </si>
  <si>
    <t xml:space="preserve"> CARTAGENA BRILLA CON CULTURA CIUDADANA</t>
  </si>
  <si>
    <t xml:space="preserve"> ESCUELA DE GOBERNANZA E INNOVACIÓN PÚBLICA</t>
  </si>
  <si>
    <t xml:space="preserve"> ORGANISMOS COMUNALES TÉCNICOS Y ADMINISTRATIVAMENTE EFICIENTES</t>
  </si>
  <si>
    <t xml:space="preserve"> ORGANIZACIONES SOCIALES SÓLIDAS E INCIDENTES EN EL DESARROLLO LOCAL</t>
  </si>
  <si>
    <t xml:space="preserve"> PRESUPUESTO PARTICIPATIVO</t>
  </si>
  <si>
    <t xml:space="preserve"> PARTICIPANDO DECIDIMOS Y AVANZAMOS</t>
  </si>
  <si>
    <t xml:space="preserve"> PROMOCIÓN Y GARANTÍA PARA LA PARTICIPACIÓN SOCIOPOLÍTICA JUVENIL</t>
  </si>
  <si>
    <t xml:space="preserve"> DERECHO A LA PARTICIPACIÓN Y REPRESENTACIÓN CON EQUIDAD DE GÉNERO</t>
  </si>
  <si>
    <t xml:space="preserve"> CENTRO DE INVESTIGACIÓN DE INFORMACIÓN DE LA CIUDAD PARA LA TOMA DE DECISIONES (CIDI)</t>
  </si>
  <si>
    <t xml:space="preserve"> SISTEMAS DE INFORMACIÓN PARA EL DESARROLLO DE CARTAGENA</t>
  </si>
  <si>
    <t xml:space="preserve"> INVERSIÓN PÚBLICA EFICIENTE Y TRANSPARENTE</t>
  </si>
  <si>
    <t xml:space="preserve"> POLÍTICAS PÚBLICAS INTERSECTORIALES Y CON VISIÓN INTEGRAL</t>
  </si>
  <si>
    <t xml:space="preserve"> DESCENTRALIZACIÓN ADMINISTRATIVA</t>
  </si>
  <si>
    <t xml:space="preserve"> GESTIÓN CATASTRAL CON ENFOQUE MULTIPROPÓSITO</t>
  </si>
  <si>
    <t xml:space="preserve"> GOBERNANZA Y PARTICIPACIÓN DE LAS COMUNIDADES NEGRAS AFROCOLOMBIANAS, RAIZALES Y PALENQUERAS PARA EL FORTALECIMIENTO DE LA DEMOCRACIA EN EL DISTRITO</t>
  </si>
  <si>
    <t xml:space="preserve"> DESARROLLO HUMANO Y BIENESTAR SOCIAL DE LAS COMUNIDADES NEGRAS, AFROCOLOMBIANAS, RAIZALES Y PALENQUERAS</t>
  </si>
  <si>
    <t xml:space="preserve"> DESARROLLO LOCAL SOSTENIBLE Y PROSPERIDAD COLECTIVA EN LOS TERRITORIOS DE LAS COMUNIDADES NEGRAS DEL DISTRITO DE CARTAGENA</t>
  </si>
  <si>
    <t xml:space="preserve"> TERRITORIO PROPIO</t>
  </si>
  <si>
    <t xml:space="preserve"> ATENCIÓN INTEGRAL PARA LAS COMUNIDADES INDÍGENAS</t>
  </si>
  <si>
    <t xml:space="preserve"> MUJER INDÍGENA, FAMILIA Y GENERACIÓN DE INGRESOS</t>
  </si>
  <si>
    <t xml:space="preserve"> Competitividad e innovación
</t>
  </si>
  <si>
    <t xml:space="preserve"> DESARROLLO ECONÓMICO EQUITATIVO
</t>
  </si>
  <si>
    <t xml:space="preserve"> Diversificación Económica
</t>
  </si>
  <si>
    <t xml:space="preserve"> Trabajo Decente y Cierre de Brechas Laborales
</t>
  </si>
  <si>
    <t xml:space="preserve"> Economía Popular y Emprendimiento
</t>
  </si>
  <si>
    <t>AVANZAMOS PARA FORTALECER LA ECONOMÍA POPULAR Y GENERAR MEJORES INGRESOS PARA NUESTRAS FAMILIAS</t>
  </si>
  <si>
    <t>FOMENTO EMPRESARIAL Y DESARROLLO SOSTENIBLE</t>
  </si>
  <si>
    <t xml:space="preserve">Turismo Sostenible y Responsable
</t>
  </si>
  <si>
    <t>SEGURIDAD, VIGILANCIA Y CONTROL PARA UN TURISMO RESPONSABLE</t>
  </si>
  <si>
    <t>TURISMO SOSTENIBLE E INCLUYENTE CON LAS COMUNIDADES</t>
  </si>
  <si>
    <t>PROMOCIÓN TURÍSTICA</t>
  </si>
  <si>
    <t xml:space="preserve"> Desarrollo Agropecuario 
</t>
  </si>
  <si>
    <t xml:space="preserve">Sistema Integral de Abastecimiento del Distrito
</t>
  </si>
  <si>
    <t xml:space="preserve">CARTAGENA CIUDAD CONECTADA Y SOSTENIBLE
</t>
  </si>
  <si>
    <t xml:space="preserve"> Ordenamiento del Territorio y espacio público.
</t>
  </si>
  <si>
    <t>INSTRUMENTOS DE PLANIFICACIÓN TERRITORIAL</t>
  </si>
  <si>
    <t xml:space="preserve"> Control Urbanístico y Territorial
</t>
  </si>
  <si>
    <t xml:space="preserve"> Cartagena Amigable con el Ambiente 
</t>
  </si>
  <si>
    <t>GENERACIÓN DE ESPACIOS PÚBLICOS REVITALIZADOS Y ADAPTADOS PARA TODOS</t>
  </si>
  <si>
    <t xml:space="preserve"> Cartagena Adaptada al Clima y Resiliente a los Desastres
</t>
  </si>
  <si>
    <t>ORDENAMIENTO Y SOSTENIBILIDAD AMBIENTAL</t>
  </si>
  <si>
    <t>REDUCCIÓN DEL RIESGO</t>
  </si>
  <si>
    <t>PROTECCIÓN COSTERA</t>
  </si>
  <si>
    <t xml:space="preserve">Ciudad Histórica y Patrimonial
</t>
  </si>
  <si>
    <t>SOSTENIBILIDAD DEL ESPACIO PÚBLICO DEL CENTRO HISTÓRICO DE CARTAGENA DE INDIAS.</t>
  </si>
  <si>
    <t xml:space="preserve">Infraestructura, Movilidad Sostenible y Accesibilidad para Todos
</t>
  </si>
  <si>
    <t>SOLUCIONES VIALES PARA LA COMPETITIVIDAD A TRAVÉS DE CONTRIBUCIÓN POR VALORIZACIÓN</t>
  </si>
  <si>
    <t xml:space="preserve">Cartagena Ordenada Alrededor del Agua
</t>
  </si>
  <si>
    <t>GESTIÓN Y CONSERVACIÓN DEL AGUA</t>
  </si>
  <si>
    <t>RECUPERACIÓN DEL SISTEMA DE CANALES Y DRENAJES PLUVIALES</t>
  </si>
  <si>
    <t xml:space="preserve"> Integración Regional y Metropolitana
</t>
  </si>
  <si>
    <t xml:space="preserve"> INNOVACIÓN PÚBLICA Y PARTICIPACIÓN CIUDADANA
</t>
  </si>
  <si>
    <t>PROCESOS ADMINISTRATIVOS ÓPTIMOS Y TRANSPARENTES</t>
  </si>
  <si>
    <t>TRANSPARENCIA Y LUCHA CONTRA LA CORRUPCIÓN</t>
  </si>
  <si>
    <t>CARTAGENA DIGITAL, INCLUSIVA Y CONECTADA</t>
  </si>
  <si>
    <t xml:space="preserve">Fortalecimiento Institucional e Innovación Administrativa
</t>
  </si>
  <si>
    <t>MEJORA NORMATIVA EN EL DISTRITO DE CARTAGENA DE INDIAS</t>
  </si>
  <si>
    <t>PATRIMONIO PÚBLICO AL SERVICIO DE CARTAGENA</t>
  </si>
  <si>
    <t xml:space="preserve"> Finanzas Públicas
</t>
  </si>
  <si>
    <t xml:space="preserve">Cultura Ciudadana
</t>
  </si>
  <si>
    <t>CIUDADANÍA DIVERSA, PARTICIPATIVA Y PROPULSORA DEL DESARROLLO</t>
  </si>
  <si>
    <t>CARTAGENEIDAD CON ORGULLO Y ESPLENDOR</t>
  </si>
  <si>
    <t>CARTAGENA BRILLA CON CULTURA CIUDADANA</t>
  </si>
  <si>
    <t>ESCUELA DE GOBERNANZA E INNOVACIÓN PÚBLICA</t>
  </si>
  <si>
    <t xml:space="preserve">Participación Ciudadana y Acción Comunal
</t>
  </si>
  <si>
    <t>PRESUPUESTO PARTICIPATIVO</t>
  </si>
  <si>
    <t>PARTICIPANDO DECIDIMOS Y AVANZAMOS</t>
  </si>
  <si>
    <t xml:space="preserve">Sistema de Planeación Distrital
</t>
  </si>
  <si>
    <t>DESCENTRALIZACIÓN ADMINISTRATIVA</t>
  </si>
  <si>
    <t xml:space="preserve"> Fortalecimiento al Desarrollo Afro-Territorial de la Población Negra, Afrocolombiana, Raizal y Palenquera
</t>
  </si>
  <si>
    <t xml:space="preserve">Territorio Sitio de Paz y Pensamiento Colectivo
</t>
  </si>
  <si>
    <t>TERRITORIO PROPIO</t>
  </si>
  <si>
    <t>ATENCIÓN INTEGRAL PARA LAS COMUNIDADES INDÍGENAS</t>
  </si>
  <si>
    <t>MUJER INDÍGENA, FAMILIA Y GENERACIÓN DE INGRESOS</t>
  </si>
  <si>
    <t xml:space="preserve">CAPÍTULO DE LOS PUEBLOS Y COMUNIDADES ÉTNICAS
</t>
  </si>
  <si>
    <t>AVANCE  NUMERICO META PRODUCTO  CORTE DICIEMBRE 2024</t>
  </si>
  <si>
    <t>LOGRO  (%) META PRODUCTO RESPECTO AL PROGRAMADO CUATRIENIO PARCIAL DICIEMBRE 2024</t>
  </si>
  <si>
    <t>LOGRO  (%) META PRODUCTO RESPECTO AL PROGRAMADO CUATRIENIO PARCIAL DICIEMBRE 2024 (PONDERADOR)</t>
  </si>
  <si>
    <t>REVISADO DIC 2024</t>
  </si>
  <si>
    <t>REPORTAN 4 A CORTE DICIEMBRE, CUANDO A 15 DE SEPTIEMBRE ERAN 8.</t>
  </si>
  <si>
    <t xml:space="preserve">ESCUELA TALLER CARTAGENA DE INDIAS -  - GERENCIA DE ESPACIO PÚBLICO Y MOVILIDAD -  IDER
SECRETARÍA DE INFRAESTRUCTURA
</t>
  </si>
  <si>
    <t>SE ESPERA PROGRAMAR PARA LAS VIGENCIAS 2025, 2026 Y 2027 POR PARTE DEL DADIS</t>
  </si>
  <si>
    <t>REVISAR CON ENLACE</t>
  </si>
  <si>
    <t xml:space="preserve">SECRETARÍA DEL INTERIOR Y CONVIVENCIA CIUDADANA
DISTRISEGURIDAD
ESTABLECIMIENTO PÚBLICO AMBIENTAL (FRANCISCO CASTILLO)
OFICINA ASESORA PARA LA GESTIÓN DEL RIESGO DE DESASTRES
GERENCIA DE ESPACIO PÚBLICO Y MOVILIDAD
</t>
  </si>
  <si>
    <t>Implementar cinco (5) estrategias de educación ambiental (PRAES, IDAU, PROCEDA, SOCIOEDUCACIÓN, ICEA)</t>
  </si>
  <si>
    <t>SECRETARÍA GENERAL  - ACUACAR -  SECRETARÍA DE PLANEACIÓN</t>
  </si>
  <si>
    <t>PROGRAMADO NUMERICO META PRODUCTO 2025</t>
  </si>
  <si>
    <t>ESPERADO PORCENTUAL META PRODUCTO CUATRIENIO EN LA VIGENCIA 2025</t>
  </si>
  <si>
    <t>ESPERADO PORCENTUAL META PRODUCTO CUATRIENIO EN LA VIGENCIA 2025 (PONDERADOR)</t>
  </si>
  <si>
    <t>AVANCE  NUMERICO META PRODUCTO  CORTE MARZO 2025</t>
  </si>
  <si>
    <t>AVANCE  NUMERICO META PRODUCTO  CORTE DCIIEMBRE 2025</t>
  </si>
  <si>
    <t>AVANCE  NUMERICO META PRODUCTO  CORTE SEPTIEMBRE 2025</t>
  </si>
  <si>
    <t>AVANCE  NUMERICO META PRODUCTO  CORTE JUNIO 2025</t>
  </si>
  <si>
    <t>ACUMULADO PARCIAL 2025</t>
  </si>
  <si>
    <t>ACUMULADO PARCIAL 2025 MAS ACUMULADO TOTAL 2024</t>
  </si>
  <si>
    <t>OBSERVACIONES DICIEMBRE 2025</t>
  </si>
  <si>
    <t>LOGRO  (%) META PRODUCTO RESPECTO AL PROGRAMADO CUATRIENIO  ACUMULADO DICIEMBRE  2024</t>
  </si>
  <si>
    <t>OBSERVACIONES MARZO 2025</t>
  </si>
  <si>
    <t>REVISAR CUANDO SE PROGRAME Y REPORTE PARA EL 2025</t>
  </si>
  <si>
    <t>REVISADO MARZO 2025. EL RESULTADO ACUMULADO SE AJUSTA CADA TRIMESTRE</t>
  </si>
  <si>
    <t xml:space="preserve">REVISADO MARZO 2025. </t>
  </si>
  <si>
    <t>REVISADO MARZO 2025</t>
  </si>
  <si>
    <t>REVISADO MARZO  2025</t>
  </si>
  <si>
    <t>REVISADO DIC 2025</t>
  </si>
  <si>
    <t>META CUMPLIDA MARZO 2025</t>
  </si>
  <si>
    <t>REVISAR CALCULO DE AVANCE CON ENLACE</t>
  </si>
  <si>
    <t>REVISAR CON ENLACE YA QUE DA POR CUMPLIDA ESTA META CUANDO AUN FALTA PARA EL 100%</t>
  </si>
  <si>
    <t>REVISAR CON ENLACE LA META NUMERICA DEL CUATRIENIO</t>
  </si>
  <si>
    <t>REVISAR CON ENLACE, YA QUE ESTA META SE PROGRAMÓ EN 2024 Y EN EL REPORTE APARECE COMO ACUMUALDO CERO</t>
  </si>
  <si>
    <t xml:space="preserve">REVISAR ACUMULADO CUATRIENIO CON ENLACE </t>
  </si>
  <si>
    <t>REVISAR CON ENLACE YA QUE EL PROGRAMADO CUATRIENIO DEBE SER 20 Y EN EL PLAN DE ACCIÓN  EL PRROGRAMADO CUATRIENIO ES SOLO 5</t>
  </si>
  <si>
    <t>SE COLOCA ACUMULADO CUATRIENIO MANUAL HASTA  QUE SE REPORTE AVANCE DE LA PRIMERA Y SEGUNDA META PRODUCTO.</t>
  </si>
  <si>
    <t>SE AJUSTA CADA TRIMESTRE SEGÚN AVANCE REPORTADO</t>
  </si>
  <si>
    <t>SE INCLUYE EL AVANCE CUANDO EMPIECEN A REPORTAR EN LOS SIGUIENTES TRIMESTRES DEL 2025, YA QUE PARA MARZO 2025 NO HAY REPORTE</t>
  </si>
  <si>
    <t>REVISAR EL PROGRAMADO NUMERICO PARA EL 2025, YA QUE SEGÚN EL PLAN DE ACCIÓN SE´RIA 0,5. ADEMAS DE INCLUIR EL REPORTE DE ACUMULADO CUANDO REPORTEN EN LOS SIGUIENTES TRIMESTRESDE 2025</t>
  </si>
  <si>
    <t>SE INCLUYE EL AVANCE EN CERO PARA AJUSTAR EL ACUMULADO DEL PROGRAMA A CORTE MARZO 2025 HASTA QUE SE REPORTEN LOS SIGUIENTES TRIMESTRES LOS AVANCES</t>
  </si>
  <si>
    <t>REVISAR CON ENLACE YA QUE PROGRAMA  18 PARA LA VIGENCIA 2025,CUANDO ESTA ES LA MISMA META CUATRIENIO Y YA TIENE UN ACUMULADO DE 2  A DICIEMBRE DE 2024</t>
  </si>
  <si>
    <t>REVISAR CON ENLACE, YA QUE NO SE AJUSTA LA META ACUMULADA CON LA QUE ESTÁ REPORTADA A DICIEMBRE 2024 Y PORQUE TAMPOCO COINCIDE CON EL PROGRAMADO</t>
  </si>
  <si>
    <t>REVISAR EL PROGRAMDO Y AVANCE REPORTADO A MARZO 2025</t>
  </si>
  <si>
    <t>REVISAR EL PROGRAMADO Y AVANCE REPORTADO A MARZO 2025</t>
  </si>
  <si>
    <t>REVISAR EL PROGRAMADO Y AVANCE REPORTADO A MARZO 2025. PORQUE APARACE COMO CUMPLIDA A DICIEMBRE 2024</t>
  </si>
  <si>
    <t>SE INCLUYE EL AVANCE EN CERO PARA AJUSTAR EL ACUMULADO DEL PROGRAMA A CORTE MARZO 2025 HASTA QUE SE REPORTEN LOS SIGUIENTES TRIMESTRES LOS AVANCES. ADEMAS, SE INCLUYE EL PROGRAMADO POR LA SECRETARÍA DE PARTICIPACION PARA LA VIGENCIA 2025 EN MARZO EN 15</t>
  </si>
  <si>
    <t>SECRETARÍA DE PARTICIPACIÓN - SECRETARÍA DEL INTERIOR Y CONVIVENCIA CIUDADANA</t>
  </si>
  <si>
    <t>REVISAR CON ENLACE YA QUE NO PROGRAMÓ PARA LA VIGENCIA Y REPORTA EN MARZO 25 EN EL 2025</t>
  </si>
  <si>
    <t xml:space="preserve"> GEPM - SECRETARÍA DE HACIENDA - SECRETARÍA DE PARTICIPACIÓN Y DESARROLLO SOCIAL</t>
  </si>
  <si>
    <t>AJUSTADO CADA TRIMESTRE. SE ABREN CUPOS POR 80, POR LO TANTO PARA EFECTOS DE SEGUIMIENTO SE DISTRIBUYEN 20 POR CADA TRIMESTRE</t>
  </si>
  <si>
    <t>PROGRAMADO VIGENCIA  2025</t>
  </si>
  <si>
    <t>REVISADO MARZO 2025. LA ULTIMA META PRODUCTO SE INCLUYE AL MOMENTO DEL REPORTE EN LA VIGENICIA 2025</t>
  </si>
  <si>
    <t>REVISADO MARZO 2025. SE INCLUYE EL ACUMULADO AL MOMENTO DE REPORTE DE LA META EN LA VIGENCIA 2025</t>
  </si>
  <si>
    <t>REVISAR EL CALCULO DEL AVANCE, YA QUE TIENE 25% ACUMULADO CUATRIENIO Y DEBE SER 31,5% A CORTE MARZO 2025</t>
  </si>
  <si>
    <t>META CUMPLIDA DICIEMBRE 2024</t>
  </si>
  <si>
    <t>REVISADO MARZO  2025. SE LES INCLUYE CERO EN EL ACUMULADO PARA EQUILIBARA EL CALCULO, HASTA QUE REPORTEN EN LOS SIGUIENTES TRIMESTRES DEL 2025</t>
  </si>
  <si>
    <t>REVISADO MARZO  2025. SE LES INCLUYE CERO EN EL ACUMULADO PARA EQUILIBAR EL CALCULO, HASTA QUE REPORTEN EN LOS SIGUIENTES TRIMESTRES DEL 2025</t>
  </si>
  <si>
    <t>REVISADO MARZO  2025. SE LES INCLUYE CERO EN EL ACUMULADO PARA EQUILIBAR EL CALCULO, HASTA QUE REPORTEN EN LOS SIGUIENTES TRIMESTRES DEL 2026</t>
  </si>
  <si>
    <t>REVISADO MARZO  2025. SE LES INCLUYE CERO EN EL ACUMULADO PARA EQUILIBAR EL CALCULO, HASTA QUE REPORTEN EN LOS SIGUIENTES TRIMESTRES DEL 2027</t>
  </si>
  <si>
    <t>META LOGRADA DICIEMBRE 2024</t>
  </si>
  <si>
    <t>REVISAR CON ENLACE, ESTA META PRODUCTO APARECE EN EL PLAN DE ACCIÓN A CORTE MARZO 2025 EN LA LINEA ESTRATEGICA DE DESARROLLO ECONOMICO Y CON OTRO PROGRAMA</t>
  </si>
  <si>
    <t>REVISAR CON ENLACE, YA QUE ESTA META LA COLOCA COMO LOGRADA EN EL CUATRIENIO, CUANDO ES DE MANTENIMIENTO DE 300 CADA AÑO</t>
  </si>
  <si>
    <t>REVISAR EL REPORTE 2025 A MARZO, EL PROGRAMADO DE LA VIGENCIA 2025, EL PROGRAMADO DE LA VIGENCIA 2024 QUE NO COINCIDE CON EL REPORTE A MARZO 2025</t>
  </si>
  <si>
    <t>ESTA META PRODUCTO SE EMPEZARÁ A ACUMULAR DE ACUERDO A LOS AVANCES REPORTADOS  A LO LARGO DEL AÑO 2025. REVISAR EL PROGRAMADO REPORTADO A CORTE MARZO 2025, YA QUE NO COINCIDE CON EL SEGUIMIENTO DEL PLAN DE ACCIÓN A DICIEMBRE 2024</t>
  </si>
  <si>
    <t>REVISAR EL PROGRAMADO REPORTADO A CORTE MARZO 2025, YA QUE NO COINCIDE CON EL SEGUIMIENTO DEL PLAN DE ACCIÓN A DICIEMBRE 2024. TAMBIEN, REVISAR EL PROGRAMADO PARA LA VIGENCIA 2025</t>
  </si>
  <si>
    <t xml:space="preserve">REVISAR EL PROGRAMADO REPORTADO A CORTE MARZO 2025, YA QUE NO COINCIDE CON EL SEGUIMIENTO DEL PLAN DE ACCIÓN A DICIEMBRE 2024. </t>
  </si>
  <si>
    <t>SE AJUSTA EL ACUMULADO CUATRIENIO EN MARZO 2025 YA QUE SE CORRIGIÓ LA META CUATRIENIO A  879.</t>
  </si>
  <si>
    <t>META CUMPLIDA. PERO REVISAR PORQUE LA PROGRAMARON PARA EL 2025</t>
  </si>
  <si>
    <t>META CUMPLIDA. PERO REVISAR PORQUE SE PROGRAMARON 5 PARA LA VIGENCIA 2025</t>
  </si>
  <si>
    <t>NO PROGRAMADA PARA VIGENCIA 2025</t>
  </si>
  <si>
    <t xml:space="preserve">REVISAR CON ENLACE YA QUE EL AVANCE DEL PROGRAMA DEBE AJUSTARSE PARA QUE NO SE VAYA A SESGAR POR EL AVANCE DE UNA SOLA META, POR LO TANTO SE LE COLOCA DE MANERA IMPLICITA: 25% A LAS TRES METAS PRODUCTO QUE NO SE PROGRAMARON COMO AVANCE DEL CUATRIENIO AUNQUE ESTAS NO SE INCLUYAN. DE ESA MANERA SE EQUILIBRA </t>
  </si>
  <si>
    <t>REVISAR EL  PROGRAMADO DEL PROGRAMA  "FORTALECIMIENTO INSTITUCIONAL DE RENTA CIUDADANA, RENTA JOVEN Y COLOMBIA MAYOR PARA LA SUPERACIÓN DE LA POBREZA EXTREMA".</t>
  </si>
  <si>
    <t xml:space="preserve"> PARA EL AÑO 2024  ERAN 5 PROGRAMAS PROGRAMADOS, PARA EL 2025 SON 6 CON EL DE  MEMORIA Y PATRIMONIO AL SERVICIO DE LA CIUDADANÍA, QUE SE INCLUIRÁ COMO PROGRAMA 6 DEL DENOMINADOR CUANDO SE REPORTEN EN LA VIGENCIA PRESENTE</t>
  </si>
  <si>
    <t>SE INCLUYE EL AVANCE DEL PROGRAMA CUANDO EMPIECEN A REPORTAR EN LOS SIGUIENTES TRIMESTRES DEL 2025, YA QUE PARA MARZO 2025 NO HAY REPORTE</t>
  </si>
  <si>
    <t>PROGRAMADO CORTE  2025 RESPECTO AL CUATRIENIO 2024 -2027 (PONDERADOR)</t>
  </si>
  <si>
    <t>LOGRO ALCANZADO DICIEMBRE RESPECTO AL CUATRIENIO (PONDERADOR) 2024</t>
  </si>
  <si>
    <t>AVANCE ESPERADO ACUMULADO CUATRIENIO 2024 - 2025</t>
  </si>
  <si>
    <t>SE INCLUYE EN EL CALCULO DEL CUATRIENIO DEL COMPONENTE IMPULSO, AL MOMENTO DE EMPEZAR A REPORTAR</t>
  </si>
  <si>
    <t>ESPERADO ACUMULADO CUATRIENIO A DICIEMBRE 2025</t>
  </si>
  <si>
    <t xml:space="preserve">AVANCE  CORTE DICIEMBRE  2024 RESPECTO AL CUATRIENIO </t>
  </si>
  <si>
    <t>AVANCE TRIEMSTRE ABRIL - JUNIO 2025</t>
  </si>
  <si>
    <t>AVANCE TRIEMSTRE JULIO - SEPTIEMBRE 2026</t>
  </si>
  <si>
    <t>AVANCE TRIEMSTRE OCTUBRE - DCIIEMBRE  2027</t>
  </si>
  <si>
    <t>SE INCLUYE CUANDO SE AVALEN LA CIFRA CON LA SED</t>
  </si>
  <si>
    <t>SECRETARÍA DE INFRAESTRUCTURA - EPA- SECRETARÍA DE PLANEACIÓN</t>
  </si>
  <si>
    <t>Este avance del Programa a reportar en 2025 será el valor máximo entre el promedio de metas programadas en 2024 y el promedio de metas programadas en 2025 el cual fue  (38,2%)</t>
  </si>
  <si>
    <t>PROGRAMA AJUSTADO</t>
  </si>
  <si>
    <t>REVISADO JUNIO 10</t>
  </si>
  <si>
    <t>PROGRAMA AJUSTADO EN JUNIO 2025</t>
  </si>
  <si>
    <t>SE INCLUYE EN EL CALCULO DEL CUATRIENIO DEL COMPONENTE IMPULSO, AL MOMENTO DE EMPEZAR A REPORTAR CON EL PROMEDIO DEL COMPONENTE IGUAL O MENOR AL DEL PROGRAMA</t>
  </si>
  <si>
    <t>AVANCE  NUMERICO META PRODUCTO  CORTE DICIEMBRE 2025</t>
  </si>
  <si>
    <t>HASTA EL MOMENTO NO SE HA RECIBIDO DESPROGRAMACIÓN DE LA META. POR LO TANTO AL FINAL DE LA VIGENCIA SINO REPORTA, ES CERO.</t>
  </si>
  <si>
    <t>OBSERVACIONES 10  JUNIO 2025</t>
  </si>
  <si>
    <t>REVISADO 30 JUNIO</t>
  </si>
  <si>
    <t xml:space="preserve">REVISADO 30 DE JUNIO </t>
  </si>
  <si>
    <t>OBSERVACIONES  10 JUNIO 2025</t>
  </si>
  <si>
    <t>OBSERVACIONES 30 JUNIO  2025</t>
  </si>
  <si>
    <t>REVISAR EL CALCULO CON ENLACE, YA QUE ESTA ES META PRODUCTO DE MANTENIMIENTO Y LA COLOCA COMO EJECUTADA AL 100% AL CUATRIENIO.</t>
  </si>
  <si>
    <t>INCLUIR SOLO CUANDO SE ACORDE CON EL ENLACE EL REPORTE</t>
  </si>
  <si>
    <t>REVISAR TANTO EL PROGRAMADO COMO EL REPORTADO COMO EL ACUMULADO 2024</t>
  </si>
  <si>
    <t>REVISAR CON  ENLACE EL PROGRAMADO Y REPORTE A JUNIO 2025</t>
  </si>
  <si>
    <t>REVISAR CON  ENLACE EL PROGRAMADO Y REPORTE A JUNIO 2026</t>
  </si>
  <si>
    <t>META CUMPLIDA 30 DE JUNIO DE 2025</t>
  </si>
  <si>
    <t>REVISAR CON ENLACE, ESTA META ESTÁ REPORTADA DOS VECES EN EL REPORTE DE PLAN DE ACCIÓN</t>
  </si>
  <si>
    <t xml:space="preserve">AVANCE  ANUAL ALCANZADO RESPECTO A LA VIGENCIA  2024 </t>
  </si>
  <si>
    <t>NO INLCUIR EL REPORTE LOGRADO A 2004 EN DICIEMBRE, EN ESPERA DE OFICIO PARA AJUSTAR Y PROCEDER A ELIMINAR EL AVANCE</t>
  </si>
  <si>
    <t>LOGRO  (%) META PRODUCTO RESPECTO AL PROGRAMADO 2025 CORTE SEPTIEMBRE 15</t>
  </si>
  <si>
    <t>LOGRO  (%) META PRODUCTO RESPECTO AL PROGRAMADO SEPTIEMBRE 15 DE 2025 (PONDERADOR)</t>
  </si>
  <si>
    <t>LOGRO  (%) META PRODUCTO RESPECTO AL PROGRAMADO CUATRIENIO  ACUMULADO SEPTIEMBRE 15 DE 2025</t>
  </si>
  <si>
    <t>LOGRO  (%) META PRODUCTO RESPECTO AL PROGRAMADO CUATRIENIO PARCIAL SEPTIEMBRE 15 DE  2025 (PONDERADOR)</t>
  </si>
  <si>
    <t>OBSERVACIONES SEPTIEMBRE 15 DE 2025</t>
  </si>
  <si>
    <t>LOGRO (%) RESPECTO AL PROGRAMADO PARA LA VIGENCIA 2025. CORTE SEPTIEMBRE 15</t>
  </si>
  <si>
    <t>LOGRO  (%) META PRODUCTO RESPECTO AL PROGRAMADO CUATRIENIO PARCIAL SEPTIEMBRE 15</t>
  </si>
  <si>
    <t>LOGRO  (%) META PRODUCTO RESPECTO AL PROGRAMADO CUATRIENIO PARCIAL SEPTIEMBRE 15 DE 2025 (PONDERADOR)</t>
  </si>
  <si>
    <t xml:space="preserve">AVANCE  TRIMESTRE ENERO -SEPTIEMBRE  DE 2025  </t>
  </si>
  <si>
    <t xml:space="preserve">LOGRO (%) RESPECTO AL PROGRAMADO PARA LA VIGENCIA 2025 CORTE  SEPTIEMBRE </t>
  </si>
  <si>
    <t xml:space="preserve">AVANCE  TERCER TRIMESTRE 2025 RESPECTO AL PROGRAMADO PARA IGUAL VIGENCIA </t>
  </si>
  <si>
    <t>REPROGRAMADA DE  3.241 A 420</t>
  </si>
  <si>
    <t>REPROGRAMADA DE  3.500 A 730</t>
  </si>
  <si>
    <t>REPROGRAMADA DE  1.675 A 1.000</t>
  </si>
  <si>
    <t>YA ESTA REPROGRAMADA, PERO PARA DEJAR FORMALIZADO EL CAMBIO</t>
  </si>
  <si>
    <t>AVANCE ACUMULADO  CORTE  SEPTIEMBRE 15 DE 2025 RESPECTO AL CUATRIENIO</t>
  </si>
  <si>
    <t>SE REPROGRAMÓ A 427 PARA LA VIGENCIA 2025</t>
  </si>
  <si>
    <t xml:space="preserve">AVANCE  NUMERICO META PRODUCTO  CORTE (15) SEPTIEMBRE 2025 </t>
  </si>
  <si>
    <t>REVISADO 15 DE SEPTIEMBRE 2025</t>
  </si>
  <si>
    <t>REVISAR EL REPORTE CON ENLACE</t>
  </si>
  <si>
    <t>REVISAR CON ENLACE YA QUE EL ACUMUALDO 2024 ERA DE 2 Y AHORA REPORTAN 4</t>
  </si>
  <si>
    <t>NO REPORTARON ESTA META EN EL PLAN DE ACCIÓN A CORTE 15 DE SEPTIEMBRE 2025</t>
  </si>
  <si>
    <t>NUEVAMENTE SE COLOCA COMO AVANCE ACUMULADO 2024 9, CUANDO REPORTARON 34.</t>
  </si>
  <si>
    <t>REVISAR, YA QUE EN REPORTE DE JUNIO REPORTARON 98 Y AHORA EN EL REPORTE A SEP 58</t>
  </si>
  <si>
    <t>REPORTARON EN DICIEMBRE DE 2024 UN AVANCE DE 2.952 Y EN SEPTIEMBRE EN EL REPORTE  DE PLAN DE ACCIÓN 3.031</t>
  </si>
  <si>
    <t>EN EL REPORTE DE DICIEMBRE 2024 REPORTARON 8 Y AHORA APARECE 16. ADEMAS DE REPORTAR 43 CUANDO SE PROGRAMARON 4 PARA LA VIGENCIA</t>
  </si>
  <si>
    <t>0,43</t>
  </si>
  <si>
    <t xml:space="preserve">EN ESPERA </t>
  </si>
  <si>
    <t>SECRETARÍA DE PLANEACIÓN -SECRETARÍA DE INFRAESTRUCTURA - EPA - SECRETARÍA DE PARTICIPACIÓN</t>
  </si>
  <si>
    <t>SECREATARÍA DE INFRAESTRUCTURA  - EPA - SECRETARÍA GENERAL </t>
  </si>
  <si>
    <t>SECRETARÍA DE PLANEACIÓN - SECRETARÍA DE INFRAESTRUCTURA</t>
  </si>
  <si>
    <t>SECRETARÍA DE PLANEACIÓN - CORVIVIENDA - SECRETARÍA GENERAL - SECRETARÍA DE INFRAESTRUCTURA - VALORIZACIÓN</t>
  </si>
  <si>
    <t>SECRETARÍA DE PLANEACIÓN - TRANSCARIBE - SECRETARÍA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</si>
</sst>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 #,##0.00_-;\-&quot;$&quot;\ * #,##0.00_-;_-&quot;$&quot;\ * &quot;-&quot;??_-;_-@_-"/>
    <numFmt numFmtId="43" formatCode="_-* #,##0.00_-;\-* #,##0.00_-;_-* &quot;-&quot;??_-;_-@_-"/>
    <numFmt numFmtId="164" formatCode="0.000%"/>
    <numFmt numFmtId="165" formatCode="0.0%"/>
    <numFmt numFmtId="166" formatCode="0.000"/>
    <numFmt numFmtId="167" formatCode="0.0000"/>
    <numFmt numFmtId="168" formatCode="_-* #,##0_-;\-* #,##0_-;_-* &quot;-&quot;??_-;_-@_-"/>
    <numFmt numFmtId="169" formatCode="0.0"/>
    <numFmt numFmtId="170" formatCode="0.00000%"/>
    <numFmt numFmtId="171" formatCode="_-* #,##0.0_-;\-* #,##0.0_-;_-* &quot;-&quot;??_-;_-@_-"/>
  </numFmts>
  <fonts count="8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26"/>
      <color theme="1"/>
      <name val="Calibri"/>
      <family val="2"/>
    </font>
    <font>
      <b/>
      <sz val="46"/>
      <color rgb="FF0000FF"/>
      <name val="Calibri"/>
      <family val="2"/>
      <scheme val="minor"/>
    </font>
    <font>
      <b/>
      <sz val="46"/>
      <color rgb="FF0000FF"/>
      <name val="Calibri"/>
      <family val="2"/>
    </font>
    <font>
      <b/>
      <sz val="41"/>
      <color rgb="FFFF0000"/>
      <name val="Calibri"/>
      <family val="2"/>
      <scheme val="minor"/>
    </font>
    <font>
      <b/>
      <sz val="33"/>
      <color theme="1"/>
      <name val="Calibri"/>
      <family val="2"/>
      <scheme val="minor"/>
    </font>
    <font>
      <b/>
      <sz val="31"/>
      <color theme="1"/>
      <name val="Calibri"/>
      <family val="2"/>
      <scheme val="minor"/>
    </font>
    <font>
      <b/>
      <sz val="73"/>
      <color rgb="FF0C343D"/>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b/>
      <sz val="36"/>
      <color theme="1"/>
      <name val="Calibri"/>
      <family val="2"/>
      <scheme val="minor"/>
    </font>
    <font>
      <b/>
      <sz val="28"/>
      <color theme="1"/>
      <name val="Calibri"/>
      <family val="2"/>
      <scheme val="minor"/>
    </font>
    <font>
      <b/>
      <sz val="22"/>
      <color theme="1"/>
      <name val="Calibri"/>
      <family val="2"/>
      <scheme val="minor"/>
    </font>
    <font>
      <sz val="48"/>
      <color theme="1"/>
      <name val="Calibri"/>
      <family val="2"/>
      <scheme val="minor"/>
    </font>
    <font>
      <b/>
      <sz val="14"/>
      <color theme="1"/>
      <name val="Calibri"/>
      <family val="2"/>
    </font>
    <font>
      <b/>
      <sz val="26"/>
      <name val="Calibri"/>
      <family val="2"/>
    </font>
    <font>
      <b/>
      <sz val="36"/>
      <name val="Calibri"/>
      <family val="2"/>
    </font>
    <font>
      <b/>
      <sz val="33"/>
      <color theme="1"/>
      <name val="Calibri"/>
      <family val="2"/>
      <scheme val="minor"/>
    </font>
    <font>
      <b/>
      <sz val="48"/>
      <name val="Calibri"/>
      <family val="2"/>
      <scheme val="minor"/>
    </font>
    <font>
      <b/>
      <sz val="14"/>
      <color theme="1"/>
      <name val="Calibri"/>
      <family val="2"/>
      <scheme val="minor"/>
    </font>
    <font>
      <b/>
      <sz val="85"/>
      <name val="Bodoni MT"/>
      <family val="1"/>
    </font>
    <font>
      <b/>
      <sz val="14"/>
      <color theme="0"/>
      <name val="Calibri"/>
      <family val="2"/>
    </font>
    <font>
      <b/>
      <sz val="14"/>
      <color rgb="FFFF0000"/>
      <name val="Calibri"/>
      <family val="2"/>
    </font>
    <font>
      <b/>
      <i/>
      <sz val="45"/>
      <color theme="1"/>
      <name val="Calibri"/>
      <family val="2"/>
      <scheme val="minor"/>
    </font>
    <font>
      <b/>
      <sz val="46"/>
      <name val="Calibri"/>
      <family val="2"/>
      <scheme val="minor"/>
    </font>
    <font>
      <sz val="26"/>
      <color theme="1"/>
      <name val="Calibri"/>
      <family val="2"/>
      <scheme val="minor"/>
    </font>
    <font>
      <sz val="28"/>
      <color theme="1"/>
      <name val="Calibri"/>
      <family val="2"/>
      <scheme val="minor"/>
    </font>
    <font>
      <b/>
      <sz val="72"/>
      <color theme="1"/>
      <name val="Bodoni MT"/>
      <family val="1"/>
    </font>
    <font>
      <b/>
      <sz val="16"/>
      <name val="Calibri"/>
      <family val="2"/>
    </font>
    <font>
      <sz val="16"/>
      <name val="Calibri"/>
      <family val="2"/>
    </font>
    <font>
      <sz val="16"/>
      <name val="Calibri"/>
      <family val="2"/>
      <scheme val="minor"/>
    </font>
    <font>
      <b/>
      <i/>
      <sz val="16"/>
      <name val="Calibri"/>
      <family val="2"/>
    </font>
    <font>
      <b/>
      <sz val="16"/>
      <name val="Calibri"/>
      <family val="2"/>
      <scheme val="minor"/>
    </font>
    <font>
      <sz val="36"/>
      <name val="Calibri"/>
      <family val="2"/>
    </font>
    <font>
      <sz val="36"/>
      <name val="Calibri"/>
      <family val="2"/>
      <scheme val="minor"/>
    </font>
    <font>
      <sz val="14"/>
      <name val="Arial"/>
      <family val="2"/>
    </font>
    <font>
      <sz val="14"/>
      <name val="Calibri"/>
      <family val="2"/>
    </font>
    <font>
      <b/>
      <sz val="14"/>
      <name val="Calibri"/>
      <family val="2"/>
    </font>
    <font>
      <sz val="14"/>
      <name val="Calibri"/>
      <family val="2"/>
      <scheme val="minor"/>
    </font>
    <font>
      <b/>
      <sz val="14"/>
      <name val="Calibri"/>
      <family val="2"/>
      <scheme val="minor"/>
    </font>
    <font>
      <b/>
      <i/>
      <sz val="14"/>
      <name val="Calibri"/>
      <family val="2"/>
    </font>
    <font>
      <sz val="28"/>
      <name val="Calibri"/>
      <family val="2"/>
    </font>
    <font>
      <b/>
      <sz val="28"/>
      <name val="Calibri"/>
      <family val="2"/>
    </font>
    <font>
      <b/>
      <sz val="28"/>
      <name val="Calibri"/>
      <family val="2"/>
      <scheme val="minor"/>
    </font>
    <font>
      <sz val="28"/>
      <name val="Calibri"/>
      <family val="2"/>
      <scheme val="minor"/>
    </font>
    <font>
      <sz val="38"/>
      <name val="Calibri"/>
      <family val="2"/>
    </font>
    <font>
      <b/>
      <sz val="38"/>
      <name val="Calibri"/>
      <family val="2"/>
    </font>
    <font>
      <b/>
      <sz val="38"/>
      <name val="Calibri"/>
      <family val="2"/>
      <scheme val="minor"/>
    </font>
    <font>
      <sz val="38"/>
      <name val="Calibri"/>
      <family val="2"/>
      <scheme val="minor"/>
    </font>
    <font>
      <b/>
      <sz val="34"/>
      <name val="Calibri"/>
      <family val="2"/>
    </font>
    <font>
      <sz val="34"/>
      <name val="Calibri"/>
      <family val="2"/>
    </font>
    <font>
      <sz val="15"/>
      <name val="Calibri"/>
      <family val="2"/>
    </font>
    <font>
      <b/>
      <sz val="15"/>
      <name val="Calibri"/>
      <family val="2"/>
    </font>
    <font>
      <sz val="15"/>
      <name val="Calibri"/>
      <family val="2"/>
      <scheme val="minor"/>
    </font>
    <font>
      <b/>
      <sz val="15"/>
      <name val="Calibri"/>
      <family val="2"/>
      <scheme val="minor"/>
    </font>
    <font>
      <b/>
      <i/>
      <sz val="15"/>
      <name val="Calibri"/>
      <family val="2"/>
    </font>
    <font>
      <sz val="15"/>
      <name val="Arial"/>
      <family val="2"/>
    </font>
    <font>
      <sz val="15"/>
      <name val="Calibri Light"/>
      <family val="2"/>
    </font>
    <font>
      <b/>
      <sz val="48"/>
      <name val="Calibri"/>
      <family val="2"/>
    </font>
    <font>
      <b/>
      <sz val="100"/>
      <color rgb="FFFF0000"/>
      <name val="Bodoni MT"/>
      <family val="1"/>
    </font>
    <font>
      <sz val="18"/>
      <name val="Calibri"/>
      <family val="2"/>
    </font>
    <font>
      <b/>
      <sz val="18"/>
      <name val="Calibri"/>
      <family val="2"/>
    </font>
    <font>
      <sz val="18"/>
      <name val="Calibri"/>
      <family val="2"/>
      <scheme val="minor"/>
    </font>
    <font>
      <b/>
      <sz val="18"/>
      <color rgb="FFFF0000"/>
      <name val="Calibri"/>
      <family val="2"/>
    </font>
    <font>
      <b/>
      <i/>
      <sz val="18"/>
      <name val="Calibri"/>
      <family val="2"/>
    </font>
    <font>
      <b/>
      <sz val="85"/>
      <color rgb="FFFF0000"/>
      <name val="Bodoni MT"/>
      <family val="1"/>
    </font>
    <font>
      <b/>
      <sz val="40"/>
      <name val="Calibri"/>
      <family val="2"/>
    </font>
    <font>
      <b/>
      <sz val="72"/>
      <color rgb="FFFF0000"/>
      <name val="Bodoni MT"/>
      <family val="1"/>
    </font>
    <font>
      <b/>
      <sz val="18"/>
      <color theme="1"/>
      <name val="Calibri"/>
      <family val="2"/>
    </font>
    <font>
      <sz val="18"/>
      <color theme="1"/>
      <name val="Calibri"/>
      <family val="2"/>
      <scheme val="minor"/>
    </font>
    <font>
      <b/>
      <sz val="46"/>
      <color rgb="FFFF0000"/>
      <name val="Calibri"/>
      <family val="2"/>
    </font>
    <font>
      <sz val="21"/>
      <name val="Calibri"/>
      <family val="2"/>
    </font>
    <font>
      <b/>
      <sz val="21"/>
      <name val="Calibri"/>
      <family val="2"/>
    </font>
    <font>
      <b/>
      <sz val="21"/>
      <name val="Calibri"/>
      <family val="2"/>
      <scheme val="minor"/>
    </font>
    <font>
      <sz val="21"/>
      <name val="Calibri"/>
      <family val="2"/>
      <scheme val="minor"/>
    </font>
    <font>
      <b/>
      <sz val="20"/>
      <name val="Calibri"/>
      <family val="2"/>
    </font>
    <font>
      <sz val="20"/>
      <name val="Calibri"/>
      <family val="2"/>
    </font>
    <font>
      <b/>
      <sz val="72"/>
      <name val="Calibri"/>
      <family val="2"/>
    </font>
    <font>
      <sz val="11"/>
      <color theme="1"/>
      <name val="Calibri"/>
      <family val="2"/>
      <scheme val="minor"/>
    </font>
    <font>
      <sz val="20"/>
      <color theme="1"/>
      <name val="Calibri"/>
      <family val="2"/>
      <scheme val="minor"/>
    </font>
  </fonts>
  <fills count="56">
    <fill>
      <patternFill patternType="none"/>
    </fill>
    <fill>
      <patternFill patternType="gray125"/>
    </fill>
    <fill>
      <patternFill patternType="solid">
        <fgColor rgb="FFEFEFEF"/>
        <bgColor rgb="FFEFEFEF"/>
      </patternFill>
    </fill>
    <fill>
      <patternFill patternType="solid">
        <fgColor rgb="FFBDD6EE"/>
        <bgColor rgb="FFBDD6EE"/>
      </patternFill>
    </fill>
    <fill>
      <patternFill patternType="solid">
        <fgColor rgb="FFFFFF00"/>
        <bgColor rgb="FFFFFF00"/>
      </patternFill>
    </fill>
    <fill>
      <patternFill patternType="solid">
        <fgColor rgb="FF2F5496"/>
        <bgColor rgb="FF2F5496"/>
      </patternFill>
    </fill>
    <fill>
      <patternFill patternType="solid">
        <fgColor rgb="FF00B050"/>
        <bgColor rgb="FF00B050"/>
      </patternFill>
    </fill>
    <fill>
      <patternFill patternType="solid">
        <fgColor rgb="FF9CC2E5"/>
        <bgColor rgb="FF9CC2E5"/>
      </patternFill>
    </fill>
    <fill>
      <patternFill patternType="solid">
        <fgColor rgb="FFC55A11"/>
        <bgColor rgb="FFC55A11"/>
      </patternFill>
    </fill>
    <fill>
      <patternFill patternType="solid">
        <fgColor rgb="FFF4B083"/>
        <bgColor rgb="FFF4B083"/>
      </patternFill>
    </fill>
    <fill>
      <patternFill patternType="solid">
        <fgColor rgb="FFCFE2F3"/>
        <bgColor rgb="FFCFE2F3"/>
      </patternFill>
    </fill>
    <fill>
      <patternFill patternType="solid">
        <fgColor rgb="FF2E75B5"/>
        <bgColor rgb="FF2E75B5"/>
      </patternFill>
    </fill>
    <fill>
      <patternFill patternType="solid">
        <fgColor rgb="FF6AA84F"/>
        <bgColor rgb="FF6AA84F"/>
      </patternFill>
    </fill>
    <fill>
      <patternFill patternType="solid">
        <fgColor rgb="FF0070C0"/>
        <bgColor rgb="FF0070C0"/>
      </patternFill>
    </fill>
    <fill>
      <patternFill patternType="solid">
        <fgColor rgb="FFFFFFFF"/>
        <bgColor rgb="FFFFFFFF"/>
      </patternFill>
    </fill>
    <fill>
      <patternFill patternType="solid">
        <fgColor rgb="FFC9DAF8"/>
        <bgColor rgb="FFC9DAF8"/>
      </patternFill>
    </fill>
    <fill>
      <patternFill patternType="solid">
        <fgColor rgb="FFDADADA"/>
        <bgColor rgb="FFDADADA"/>
      </patternFill>
    </fill>
    <fill>
      <patternFill patternType="solid">
        <fgColor rgb="FFA8D08D"/>
        <bgColor rgb="FFA8D08D"/>
      </patternFill>
    </fill>
    <fill>
      <patternFill patternType="solid">
        <fgColor rgb="FFD0CECE"/>
        <bgColor rgb="FFD0CECE"/>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FFFF00"/>
        <bgColor rgb="FFFFFFFF"/>
      </patternFill>
    </fill>
    <fill>
      <patternFill patternType="solid">
        <fgColor rgb="FF00B050"/>
        <bgColor rgb="FFF4B083"/>
      </patternFill>
    </fill>
    <fill>
      <patternFill patternType="solid">
        <fgColor rgb="FFFFFF00"/>
        <bgColor rgb="FFF4B083"/>
      </patternFill>
    </fill>
    <fill>
      <patternFill patternType="solid">
        <fgColor theme="0"/>
        <bgColor rgb="FFF4B083"/>
      </patternFill>
    </fill>
    <fill>
      <patternFill patternType="solid">
        <fgColor theme="5" tint="0.39997558519241921"/>
        <bgColor rgb="FF00B050"/>
      </patternFill>
    </fill>
    <fill>
      <patternFill patternType="solid">
        <fgColor theme="5" tint="0.39997558519241921"/>
        <bgColor rgb="FFF4B083"/>
      </patternFill>
    </fill>
    <fill>
      <patternFill patternType="solid">
        <fgColor theme="4" tint="-0.249977111117893"/>
        <bgColor rgb="FF00B050"/>
      </patternFill>
    </fill>
    <fill>
      <patternFill patternType="solid">
        <fgColor theme="4" tint="-0.249977111117893"/>
        <bgColor rgb="FFF4B083"/>
      </patternFill>
    </fill>
    <fill>
      <patternFill patternType="solid">
        <fgColor theme="4" tint="-0.249977111117893"/>
        <bgColor rgb="FF2E75B5"/>
      </patternFill>
    </fill>
    <fill>
      <patternFill patternType="solid">
        <fgColor theme="0"/>
        <bgColor rgb="FF00B050"/>
      </patternFill>
    </fill>
    <fill>
      <patternFill patternType="solid">
        <fgColor theme="0"/>
        <bgColor rgb="FF2E75B5"/>
      </patternFill>
    </fill>
    <fill>
      <patternFill patternType="solid">
        <fgColor theme="5" tint="0.39997558519241921"/>
        <bgColor rgb="FF2E75B5"/>
      </patternFill>
    </fill>
    <fill>
      <patternFill patternType="solid">
        <fgColor theme="4" tint="-0.249977111117893"/>
        <bgColor indexed="64"/>
      </patternFill>
    </fill>
    <fill>
      <patternFill patternType="solid">
        <fgColor theme="0"/>
        <bgColor rgb="FFFFFFFF"/>
      </patternFill>
    </fill>
    <fill>
      <patternFill patternType="solid">
        <fgColor theme="5" tint="-0.249977111117893"/>
        <bgColor indexed="64"/>
      </patternFill>
    </fill>
    <fill>
      <patternFill patternType="solid">
        <fgColor theme="5" tint="-0.249977111117893"/>
        <bgColor rgb="FFD0CECE"/>
      </patternFill>
    </fill>
    <fill>
      <patternFill patternType="solid">
        <fgColor rgb="FF0070C0"/>
        <bgColor indexed="64"/>
      </patternFill>
    </fill>
    <fill>
      <patternFill patternType="solid">
        <fgColor rgb="FFCC0066"/>
        <bgColor indexed="64"/>
      </patternFill>
    </fill>
    <fill>
      <patternFill patternType="solid">
        <fgColor rgb="FFFFFF00"/>
        <bgColor rgb="FF2F5496"/>
      </patternFill>
    </fill>
    <fill>
      <patternFill patternType="solid">
        <fgColor theme="2"/>
        <bgColor rgb="FFFFFFFF"/>
      </patternFill>
    </fill>
    <fill>
      <patternFill patternType="solid">
        <fgColor theme="2"/>
        <bgColor indexed="64"/>
      </patternFill>
    </fill>
    <fill>
      <patternFill patternType="solid">
        <fgColor theme="4" tint="0.39997558519241921"/>
        <bgColor rgb="FF2F5496"/>
      </patternFill>
    </fill>
    <fill>
      <patternFill patternType="solid">
        <fgColor theme="4" tint="0.59999389629810485"/>
        <bgColor indexed="64"/>
      </patternFill>
    </fill>
    <fill>
      <patternFill patternType="solid">
        <fgColor theme="4" tint="0.59999389629810485"/>
        <bgColor rgb="FF2F5496"/>
      </patternFill>
    </fill>
    <fill>
      <patternFill patternType="solid">
        <fgColor theme="4" tint="0.79998168889431442"/>
        <bgColor rgb="FF2F5496"/>
      </patternFill>
    </fill>
    <fill>
      <patternFill patternType="solid">
        <fgColor rgb="FFCC0066"/>
        <bgColor rgb="FFF4B083"/>
      </patternFill>
    </fill>
    <fill>
      <patternFill patternType="solid">
        <fgColor rgb="FFFF7C80"/>
        <bgColor rgb="FFD0CECE"/>
      </patternFill>
    </fill>
    <fill>
      <patternFill patternType="solid">
        <fgColor theme="0" tint="-0.34998626667073579"/>
        <bgColor indexed="64"/>
      </patternFill>
    </fill>
    <fill>
      <patternFill patternType="solid">
        <fgColor rgb="FFFFC000"/>
        <bgColor indexed="64"/>
      </patternFill>
    </fill>
  </fills>
  <borders count="170">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BF4F14"/>
      </right>
      <top style="medium">
        <color rgb="FFCCCCCC"/>
      </top>
      <bottom style="medium">
        <color rgb="FFCCCCCC"/>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medium">
        <color rgb="FFCCCCCC"/>
      </left>
      <right/>
      <top style="medium">
        <color rgb="FFCCCCCC"/>
      </top>
      <bottom/>
      <diagonal/>
    </border>
    <border>
      <left/>
      <right/>
      <top/>
      <bottom style="medium">
        <color rgb="FF000000"/>
      </bottom>
      <diagonal/>
    </border>
    <border>
      <left style="medium">
        <color rgb="FFCCCCCC"/>
      </left>
      <right/>
      <top/>
      <bottom style="medium">
        <color rgb="FF000000"/>
      </bottom>
      <diagonal/>
    </border>
    <border>
      <left style="medium">
        <color rgb="FFCCCCCC"/>
      </left>
      <right style="medium">
        <color rgb="FFCCCCCC"/>
      </right>
      <top/>
      <bottom style="medium">
        <color rgb="FFCCCCCC"/>
      </bottom>
      <diagonal/>
    </border>
    <border>
      <left/>
      <right style="medium">
        <color rgb="FF000000"/>
      </right>
      <top style="medium">
        <color rgb="FF000000"/>
      </top>
      <bottom/>
      <diagonal/>
    </border>
    <border>
      <left style="medium">
        <color rgb="FFCCCCCC"/>
      </left>
      <right/>
      <top style="medium">
        <color rgb="FFCCCCCC"/>
      </top>
      <bottom style="medium">
        <color rgb="FFCCCCCC"/>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rgb="FFCCCCCC"/>
      </right>
      <top style="medium">
        <color rgb="FFCCCCCC"/>
      </top>
      <bottom/>
      <diagonal/>
    </border>
    <border>
      <left/>
      <right/>
      <top style="medium">
        <color rgb="FF000000"/>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rgb="FF000000"/>
      </bottom>
      <diagonal/>
    </border>
    <border>
      <left/>
      <right style="medium">
        <color rgb="FFCCCCCC"/>
      </right>
      <top style="medium">
        <color indexed="64"/>
      </top>
      <bottom style="medium">
        <color rgb="FF000000"/>
      </bottom>
      <diagonal/>
    </border>
    <border>
      <left style="medium">
        <color rgb="FFCCCCCC"/>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CCCCCC"/>
      </left>
      <right style="medium">
        <color indexed="64"/>
      </right>
      <top style="medium">
        <color rgb="FFCCCCCC"/>
      </top>
      <bottom style="medium">
        <color rgb="FF000000"/>
      </bottom>
      <diagonal/>
    </border>
    <border>
      <left style="medium">
        <color indexed="64"/>
      </left>
      <right style="medium">
        <color rgb="FF000000"/>
      </right>
      <top style="medium">
        <color rgb="FFCCCCCC"/>
      </top>
      <bottom style="medium">
        <color rgb="FF000000"/>
      </bottom>
      <diagonal/>
    </border>
    <border>
      <left style="medium">
        <color rgb="FFCCCCCC"/>
      </left>
      <right style="medium">
        <color indexed="64"/>
      </right>
      <top style="medium">
        <color rgb="FFCCCCCC"/>
      </top>
      <bottom/>
      <diagonal/>
    </border>
    <border>
      <left style="thin">
        <color rgb="FF000000"/>
      </left>
      <right style="medium">
        <color indexed="64"/>
      </right>
      <top style="thin">
        <color rgb="FF000000"/>
      </top>
      <bottom style="thin">
        <color rgb="FF000000"/>
      </bottom>
      <diagonal/>
    </border>
    <border>
      <left style="medium">
        <color rgb="FFCCCCCC"/>
      </left>
      <right style="medium">
        <color indexed="64"/>
      </right>
      <top/>
      <bottom style="medium">
        <color rgb="FF000000"/>
      </bottom>
      <diagonal/>
    </border>
    <border>
      <left style="medium">
        <color indexed="64"/>
      </left>
      <right style="medium">
        <color rgb="FF000000"/>
      </right>
      <top style="medium">
        <color rgb="FFCCCCCC"/>
      </top>
      <bottom style="medium">
        <color indexed="64"/>
      </bottom>
      <diagonal/>
    </border>
    <border>
      <left style="medium">
        <color rgb="FFCCCCCC"/>
      </left>
      <right style="medium">
        <color rgb="FF000000"/>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style="medium">
        <color indexed="64"/>
      </left>
      <right style="medium">
        <color rgb="FF000000"/>
      </right>
      <top style="medium">
        <color rgb="FFCCCCCC"/>
      </top>
      <bottom/>
      <diagonal/>
    </border>
    <border>
      <left style="medium">
        <color indexed="64"/>
      </left>
      <right/>
      <top style="medium">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CCCCCC"/>
      </left>
      <right/>
      <top/>
      <bottom/>
      <diagonal/>
    </border>
    <border>
      <left style="medium">
        <color indexed="64"/>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CCCCCC"/>
      </left>
      <right/>
      <top style="medium">
        <color indexed="64"/>
      </top>
      <bottom style="medium">
        <color indexed="64"/>
      </bottom>
      <diagonal/>
    </border>
    <border>
      <left/>
      <right/>
      <top style="medium">
        <color indexed="64"/>
      </top>
      <bottom style="medium">
        <color indexed="64"/>
      </bottom>
      <diagonal/>
    </border>
    <border>
      <left style="medium">
        <color rgb="FFCCCCCC"/>
      </left>
      <right/>
      <top style="medium">
        <color rgb="FFCCCCCC"/>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CCCCCC"/>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CCCCCC"/>
      </top>
      <bottom style="medium">
        <color indexed="64"/>
      </bottom>
      <diagonal/>
    </border>
    <border>
      <left style="thin">
        <color rgb="FF000000"/>
      </left>
      <right style="medium">
        <color indexed="64"/>
      </right>
      <top/>
      <bottom style="thin">
        <color rgb="FF000000"/>
      </bottom>
      <diagonal/>
    </border>
    <border>
      <left style="medium">
        <color indexed="64"/>
      </left>
      <right style="medium">
        <color rgb="FF000000"/>
      </right>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rgb="FF000000"/>
      </bottom>
      <diagonal/>
    </border>
    <border>
      <left style="medium">
        <color rgb="FFCCCCCC"/>
      </left>
      <right/>
      <top style="medium">
        <color indexed="64"/>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rgb="FF000000"/>
      </right>
      <top style="thin">
        <color rgb="FF000000"/>
      </top>
      <bottom/>
      <diagonal/>
    </border>
    <border>
      <left/>
      <right style="medium">
        <color rgb="FF000000"/>
      </right>
      <top style="medium">
        <color indexed="64"/>
      </top>
      <bottom style="medium">
        <color rgb="FF000000"/>
      </bottom>
      <diagonal/>
    </border>
    <border>
      <left/>
      <right style="medium">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indexed="64"/>
      </left>
      <right/>
      <top style="thin">
        <color rgb="FFFF0000"/>
      </top>
      <bottom/>
      <diagonal/>
    </border>
    <border>
      <left style="thin">
        <color indexed="64"/>
      </left>
      <right/>
      <top/>
      <bottom style="thin">
        <color rgb="FFFF0000"/>
      </bottom>
      <diagonal/>
    </border>
    <border>
      <left/>
      <right style="thin">
        <color indexed="64"/>
      </right>
      <top style="thin">
        <color indexed="64"/>
      </top>
      <bottom style="thin">
        <color rgb="FFFF0000"/>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ck">
        <color rgb="FF7030A0"/>
      </left>
      <right style="thick">
        <color rgb="FF7030A0"/>
      </right>
      <top style="thick">
        <color rgb="FF7030A0"/>
      </top>
      <bottom style="thick">
        <color rgb="FF7030A0"/>
      </bottom>
      <diagonal/>
    </border>
    <border>
      <left style="thick">
        <color rgb="FF7030A0"/>
      </left>
      <right style="thin">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medium">
        <color rgb="FFCCCCCC"/>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CCCCCC"/>
      </left>
      <right style="medium">
        <color indexed="64"/>
      </right>
      <top style="medium">
        <color indexed="64"/>
      </top>
      <bottom style="medium">
        <color indexed="64"/>
      </bottom>
      <diagonal/>
    </border>
    <border>
      <left style="medium">
        <color rgb="FFCCCCCC"/>
      </left>
      <right/>
      <top/>
      <bottom style="medium">
        <color rgb="FFCCCCCC"/>
      </bottom>
      <diagonal/>
    </border>
    <border>
      <left style="medium">
        <color indexed="64"/>
      </left>
      <right style="medium">
        <color rgb="FF000000"/>
      </right>
      <top style="medium">
        <color indexed="64"/>
      </top>
      <bottom/>
      <diagonal/>
    </border>
    <border>
      <left style="medium">
        <color rgb="FFCCCCCC"/>
      </left>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thin">
        <color indexed="64"/>
      </top>
      <bottom/>
      <diagonal/>
    </border>
    <border>
      <left/>
      <right style="medium">
        <color rgb="FF000000"/>
      </right>
      <top style="medium">
        <color indexed="64"/>
      </top>
      <bottom/>
      <diagonal/>
    </border>
    <border>
      <left/>
      <right/>
      <top/>
      <bottom style="medium">
        <color indexed="64"/>
      </bottom>
      <diagonal/>
    </border>
    <border>
      <left style="medium">
        <color indexed="64"/>
      </left>
      <right style="medium">
        <color indexed="64"/>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medium">
        <color rgb="FFCCCCCC"/>
      </right>
      <top/>
      <bottom style="medium">
        <color rgb="FFCCCCCC"/>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diagonal/>
    </border>
    <border>
      <left/>
      <right style="thin">
        <color indexed="64"/>
      </right>
      <top style="medium">
        <color indexed="64"/>
      </top>
      <bottom style="medium">
        <color indexed="64"/>
      </bottom>
      <diagonal/>
    </border>
    <border>
      <left/>
      <right/>
      <top/>
      <bottom style="thin">
        <color rgb="FF000000"/>
      </bottom>
      <diagonal/>
    </border>
    <border>
      <left style="thin">
        <color indexed="64"/>
      </left>
      <right/>
      <top style="medium">
        <color indexed="64"/>
      </top>
      <bottom style="medium">
        <color indexed="64"/>
      </bottom>
      <diagonal/>
    </border>
    <border>
      <left style="medium">
        <color rgb="FFCCCCCC"/>
      </left>
      <right style="medium">
        <color rgb="FFCCCCCC"/>
      </right>
      <top/>
      <bottom/>
      <diagonal/>
    </border>
    <border>
      <left/>
      <right style="medium">
        <color rgb="FF000000"/>
      </right>
      <top/>
      <bottom/>
      <diagonal/>
    </border>
    <border>
      <left style="medium">
        <color rgb="FF663997"/>
      </left>
      <right style="thin">
        <color rgb="FF000000"/>
      </right>
      <top style="medium">
        <color rgb="FF663997"/>
      </top>
      <bottom style="thin">
        <color rgb="FF000000"/>
      </bottom>
      <diagonal/>
    </border>
    <border>
      <left style="thin">
        <color rgb="FF000000"/>
      </left>
      <right style="thin">
        <color rgb="FF000000"/>
      </right>
      <top style="medium">
        <color rgb="FF663997"/>
      </top>
      <bottom style="thin">
        <color rgb="FF000000"/>
      </bottom>
      <diagonal/>
    </border>
    <border>
      <left style="thin">
        <color rgb="FF000000"/>
      </left>
      <right/>
      <top style="medium">
        <color rgb="FF663997"/>
      </top>
      <bottom style="thin">
        <color rgb="FF000000"/>
      </bottom>
      <diagonal/>
    </border>
    <border>
      <left style="thin">
        <color indexed="64"/>
      </left>
      <right style="thin">
        <color indexed="64"/>
      </right>
      <top style="medium">
        <color rgb="FF663997"/>
      </top>
      <bottom style="thin">
        <color indexed="64"/>
      </bottom>
      <diagonal/>
    </border>
    <border>
      <left/>
      <right style="thin">
        <color rgb="FF000000"/>
      </right>
      <top style="medium">
        <color rgb="FF663997"/>
      </top>
      <bottom style="thin">
        <color rgb="FF000000"/>
      </bottom>
      <diagonal/>
    </border>
    <border>
      <left style="thin">
        <color rgb="FF000000"/>
      </left>
      <right style="medium">
        <color rgb="FF663997"/>
      </right>
      <top style="medium">
        <color rgb="FF663997"/>
      </top>
      <bottom style="thin">
        <color rgb="FF000000"/>
      </bottom>
      <diagonal/>
    </border>
    <border>
      <left style="medium">
        <color rgb="FF663997"/>
      </left>
      <right style="thin">
        <color rgb="FF000000"/>
      </right>
      <top style="thin">
        <color rgb="FF000000"/>
      </top>
      <bottom/>
      <diagonal/>
    </border>
    <border>
      <left style="thin">
        <color rgb="FF000000"/>
      </left>
      <right style="medium">
        <color rgb="FF663997"/>
      </right>
      <top style="thin">
        <color rgb="FF000000"/>
      </top>
      <bottom style="thin">
        <color rgb="FF000000"/>
      </bottom>
      <diagonal/>
    </border>
    <border>
      <left style="medium">
        <color rgb="FF663997"/>
      </left>
      <right style="thin">
        <color rgb="FF000000"/>
      </right>
      <top style="thin">
        <color rgb="FF000000"/>
      </top>
      <bottom style="thin">
        <color rgb="FF000000"/>
      </bottom>
      <diagonal/>
    </border>
    <border>
      <left style="medium">
        <color rgb="FF663997"/>
      </left>
      <right style="thin">
        <color rgb="FF000000"/>
      </right>
      <top style="thin">
        <color rgb="FF000000"/>
      </top>
      <bottom style="medium">
        <color rgb="FF663997"/>
      </bottom>
      <diagonal/>
    </border>
    <border>
      <left style="thin">
        <color rgb="FF000000"/>
      </left>
      <right style="thin">
        <color rgb="FF000000"/>
      </right>
      <top style="thin">
        <color rgb="FF000000"/>
      </top>
      <bottom style="medium">
        <color rgb="FF663997"/>
      </bottom>
      <diagonal/>
    </border>
    <border>
      <left style="thin">
        <color rgb="FF000000"/>
      </left>
      <right/>
      <top style="thin">
        <color rgb="FF000000"/>
      </top>
      <bottom style="medium">
        <color rgb="FF663997"/>
      </bottom>
      <diagonal/>
    </border>
    <border>
      <left style="thin">
        <color indexed="64"/>
      </left>
      <right style="thin">
        <color indexed="64"/>
      </right>
      <top style="thin">
        <color indexed="64"/>
      </top>
      <bottom style="medium">
        <color rgb="FF663997"/>
      </bottom>
      <diagonal/>
    </border>
    <border>
      <left/>
      <right style="thin">
        <color rgb="FF000000"/>
      </right>
      <top style="thin">
        <color rgb="FF000000"/>
      </top>
      <bottom style="medium">
        <color rgb="FF663997"/>
      </bottom>
      <diagonal/>
    </border>
    <border>
      <left style="thin">
        <color rgb="FF000000"/>
      </left>
      <right style="medium">
        <color rgb="FF663997"/>
      </right>
      <top style="thin">
        <color rgb="FF000000"/>
      </top>
      <bottom style="medium">
        <color rgb="FF663997"/>
      </bottom>
      <diagonal/>
    </border>
    <border>
      <left/>
      <right style="medium">
        <color rgb="FFCCCCCC"/>
      </right>
      <top style="medium">
        <color rgb="FFCCCCCC"/>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9" fontId="11" fillId="0" borderId="0" applyFont="0" applyFill="0" applyBorder="0" applyAlignment="0" applyProtection="0"/>
    <xf numFmtId="0" fontId="2" fillId="0" borderId="0"/>
    <xf numFmtId="43" fontId="11" fillId="0" borderId="0" applyFont="0" applyFill="0" applyBorder="0" applyAlignment="0" applyProtection="0"/>
    <xf numFmtId="44" fontId="84" fillId="0" borderId="0" applyFont="0" applyFill="0" applyBorder="0" applyAlignment="0" applyProtection="0"/>
  </cellStyleXfs>
  <cellXfs count="1010">
    <xf numFmtId="0" fontId="0" fillId="0" borderId="0" xfId="0" applyFont="1" applyAlignment="1"/>
    <xf numFmtId="0" fontId="3" fillId="0" borderId="23" xfId="0" applyFont="1" applyBorder="1"/>
    <xf numFmtId="0" fontId="5" fillId="0" borderId="14" xfId="0" applyFont="1" applyBorder="1" applyAlignment="1">
      <alignment horizontal="center"/>
    </xf>
    <xf numFmtId="0" fontId="6" fillId="0" borderId="14" xfId="0" applyFont="1" applyBorder="1" applyAlignment="1">
      <alignment horizontal="center"/>
    </xf>
    <xf numFmtId="9" fontId="7" fillId="0" borderId="14" xfId="0" applyNumberFormat="1" applyFont="1" applyBorder="1" applyAlignment="1">
      <alignment horizontal="center"/>
    </xf>
    <xf numFmtId="164" fontId="8" fillId="0" borderId="0" xfId="0" applyNumberFormat="1" applyFont="1" applyAlignment="1"/>
    <xf numFmtId="164" fontId="9" fillId="0" borderId="0" xfId="0" applyNumberFormat="1" applyFont="1" applyAlignment="1"/>
    <xf numFmtId="10" fontId="10" fillId="0" borderId="0" xfId="0" applyNumberFormat="1" applyFont="1" applyAlignment="1">
      <alignment horizontal="center"/>
    </xf>
    <xf numFmtId="10" fontId="11" fillId="0" borderId="0" xfId="0" applyNumberFormat="1" applyFont="1" applyAlignment="1"/>
    <xf numFmtId="0" fontId="12" fillId="19" borderId="24" xfId="0" applyFont="1" applyFill="1" applyBorder="1" applyAlignment="1">
      <alignment horizontal="center" vertical="center" wrapText="1"/>
    </xf>
    <xf numFmtId="0" fontId="0" fillId="0" borderId="24" xfId="0" applyFont="1" applyBorder="1" applyAlignment="1"/>
    <xf numFmtId="10" fontId="17" fillId="24" borderId="24" xfId="0" applyNumberFormat="1" applyFont="1" applyFill="1" applyBorder="1" applyAlignment="1">
      <alignment horizontal="center" vertical="center"/>
    </xf>
    <xf numFmtId="2" fontId="0" fillId="0" borderId="0" xfId="0" applyNumberFormat="1" applyFont="1" applyAlignment="1"/>
    <xf numFmtId="165" fontId="15" fillId="0" borderId="24" xfId="1" applyNumberFormat="1" applyFont="1" applyBorder="1" applyAlignment="1">
      <alignment horizontal="center" vertical="center"/>
    </xf>
    <xf numFmtId="10" fontId="0" fillId="0" borderId="0" xfId="0" applyNumberFormat="1" applyFont="1" applyAlignment="1"/>
    <xf numFmtId="164" fontId="0" fillId="0" borderId="0" xfId="1" applyNumberFormat="1" applyFont="1" applyAlignment="1"/>
    <xf numFmtId="164" fontId="0" fillId="0" borderId="0" xfId="0" applyNumberFormat="1" applyFont="1" applyAlignment="1"/>
    <xf numFmtId="0" fontId="0" fillId="20" borderId="0" xfId="0" applyFont="1" applyFill="1" applyAlignment="1"/>
    <xf numFmtId="0" fontId="16" fillId="0" borderId="0" xfId="0" applyFont="1" applyAlignment="1"/>
    <xf numFmtId="10" fontId="12" fillId="0" borderId="0" xfId="1" applyNumberFormat="1" applyFont="1" applyAlignment="1"/>
    <xf numFmtId="165" fontId="15" fillId="0" borderId="34" xfId="1" applyNumberFormat="1" applyFont="1" applyBorder="1" applyAlignment="1">
      <alignment horizontal="center" vertical="center"/>
    </xf>
    <xf numFmtId="0" fontId="19" fillId="0" borderId="0" xfId="0" applyFont="1" applyAlignment="1"/>
    <xf numFmtId="165" fontId="4" fillId="31" borderId="24" xfId="0" applyNumberFormat="1" applyFont="1" applyFill="1" applyBorder="1" applyAlignment="1">
      <alignment horizontal="center" vertical="center" wrapText="1"/>
    </xf>
    <xf numFmtId="165" fontId="21" fillId="11" borderId="24" xfId="0" applyNumberFormat="1" applyFont="1" applyFill="1" applyBorder="1" applyAlignment="1">
      <alignment horizontal="center" vertical="center" wrapText="1"/>
    </xf>
    <xf numFmtId="0" fontId="8" fillId="0" borderId="25" xfId="0" applyFont="1" applyBorder="1" applyAlignment="1">
      <alignment horizontal="center" vertical="center"/>
    </xf>
    <xf numFmtId="164" fontId="23" fillId="0" borderId="25" xfId="1" applyNumberFormat="1" applyFont="1" applyBorder="1" applyAlignment="1">
      <alignment vertical="center"/>
    </xf>
    <xf numFmtId="0" fontId="0" fillId="0" borderId="34" xfId="0" applyFont="1" applyBorder="1" applyAlignment="1"/>
    <xf numFmtId="10" fontId="24" fillId="20" borderId="48" xfId="0" applyNumberFormat="1" applyFont="1" applyFill="1" applyBorder="1" applyAlignment="1">
      <alignment horizontal="center" vertical="center"/>
    </xf>
    <xf numFmtId="0" fontId="18" fillId="21" borderId="93" xfId="0" applyFont="1" applyFill="1" applyBorder="1" applyAlignment="1">
      <alignment wrapText="1"/>
    </xf>
    <xf numFmtId="10" fontId="24" fillId="20" borderId="95" xfId="0" applyNumberFormat="1" applyFont="1" applyFill="1" applyBorder="1" applyAlignment="1">
      <alignment horizontal="center" vertical="center"/>
    </xf>
    <xf numFmtId="10" fontId="24" fillId="20" borderId="96" xfId="0" applyNumberFormat="1" applyFont="1" applyFill="1" applyBorder="1" applyAlignment="1">
      <alignment horizontal="center" vertical="center"/>
    </xf>
    <xf numFmtId="0" fontId="14" fillId="22" borderId="97" xfId="0" applyFont="1" applyFill="1" applyBorder="1" applyAlignment="1">
      <alignment wrapText="1"/>
    </xf>
    <xf numFmtId="165" fontId="21" fillId="11" borderId="98" xfId="0" applyNumberFormat="1" applyFont="1" applyFill="1" applyBorder="1" applyAlignment="1">
      <alignment horizontal="center" vertical="center" wrapText="1"/>
    </xf>
    <xf numFmtId="0" fontId="12" fillId="23" borderId="97" xfId="0" applyFont="1" applyFill="1" applyBorder="1" applyAlignment="1">
      <alignment wrapText="1"/>
    </xf>
    <xf numFmtId="165" fontId="15" fillId="0" borderId="98" xfId="1" applyNumberFormat="1" applyFont="1" applyBorder="1" applyAlignment="1">
      <alignment horizontal="center" vertical="center"/>
    </xf>
    <xf numFmtId="10" fontId="15" fillId="0" borderId="98" xfId="1" applyNumberFormat="1" applyFont="1" applyBorder="1" applyAlignment="1">
      <alignment horizontal="center" vertical="center"/>
    </xf>
    <xf numFmtId="0" fontId="12" fillId="23" borderId="99" xfId="0" applyFont="1" applyFill="1" applyBorder="1" applyAlignment="1">
      <alignment wrapText="1"/>
    </xf>
    <xf numFmtId="165" fontId="15" fillId="0" borderId="101" xfId="1" applyNumberFormat="1" applyFont="1" applyBorder="1" applyAlignment="1">
      <alignment horizontal="center" vertical="center"/>
    </xf>
    <xf numFmtId="165" fontId="15" fillId="0" borderId="102" xfId="1" applyNumberFormat="1" applyFont="1" applyBorder="1" applyAlignment="1">
      <alignment horizontal="center" vertical="center"/>
    </xf>
    <xf numFmtId="0" fontId="18" fillId="21" borderId="93" xfId="0" applyFont="1" applyFill="1" applyBorder="1" applyAlignment="1">
      <alignment vertical="center" wrapText="1"/>
    </xf>
    <xf numFmtId="165" fontId="15" fillId="0" borderId="105" xfId="1" applyNumberFormat="1" applyFont="1" applyBorder="1" applyAlignment="1">
      <alignment horizontal="center" vertical="center"/>
    </xf>
    <xf numFmtId="0" fontId="12" fillId="19" borderId="34" xfId="0" applyFont="1" applyFill="1" applyBorder="1" applyAlignment="1">
      <alignment horizontal="center" vertical="center" wrapText="1"/>
    </xf>
    <xf numFmtId="0" fontId="18" fillId="21" borderId="106" xfId="0" applyFont="1" applyFill="1" applyBorder="1" applyAlignment="1">
      <alignment wrapText="1"/>
    </xf>
    <xf numFmtId="10" fontId="24" fillId="20" borderId="107" xfId="0" applyNumberFormat="1" applyFont="1" applyFill="1" applyBorder="1" applyAlignment="1">
      <alignment horizontal="center" vertical="center"/>
    </xf>
    <xf numFmtId="0" fontId="13" fillId="20" borderId="110" xfId="0" applyFont="1" applyFill="1" applyBorder="1" applyAlignment="1">
      <alignment wrapText="1"/>
    </xf>
    <xf numFmtId="0" fontId="15" fillId="0" borderId="31" xfId="0" applyFont="1" applyBorder="1" applyAlignment="1"/>
    <xf numFmtId="0" fontId="20" fillId="4" borderId="11"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5" fillId="19" borderId="24" xfId="0" applyFont="1" applyFill="1" applyBorder="1" applyAlignment="1">
      <alignment horizontal="center" vertical="center" wrapText="1"/>
    </xf>
    <xf numFmtId="0" fontId="15" fillId="0" borderId="0" xfId="0" applyFont="1" applyAlignment="1"/>
    <xf numFmtId="0" fontId="29" fillId="0" borderId="109" xfId="0" applyFont="1" applyBorder="1" applyAlignment="1">
      <alignment wrapText="1"/>
    </xf>
    <xf numFmtId="0" fontId="3" fillId="0" borderId="87" xfId="0" applyFont="1" applyBorder="1"/>
    <xf numFmtId="9" fontId="6" fillId="0" borderId="29" xfId="0" applyNumberFormat="1" applyFont="1" applyBorder="1" applyAlignment="1">
      <alignment horizontal="center"/>
    </xf>
    <xf numFmtId="0" fontId="0" fillId="0" borderId="0" xfId="0" applyFont="1" applyBorder="1" applyAlignment="1"/>
    <xf numFmtId="0" fontId="1" fillId="0" borderId="0" xfId="0" applyFont="1" applyAlignment="1"/>
    <xf numFmtId="0" fontId="31" fillId="0" borderId="0" xfId="0" applyFont="1" applyAlignment="1"/>
    <xf numFmtId="0" fontId="25" fillId="19" borderId="31" xfId="0" applyFont="1" applyFill="1" applyBorder="1" applyAlignment="1">
      <alignment horizontal="center" vertical="center" wrapText="1"/>
    </xf>
    <xf numFmtId="10" fontId="17" fillId="43" borderId="98" xfId="0" applyNumberFormat="1" applyFont="1" applyFill="1" applyBorder="1" applyAlignment="1">
      <alignment horizontal="center" vertical="center"/>
    </xf>
    <xf numFmtId="10" fontId="32" fillId="0" borderId="0" xfId="0" applyNumberFormat="1" applyFont="1" applyAlignment="1"/>
    <xf numFmtId="10" fontId="15" fillId="0" borderId="24" xfId="1" applyNumberFormat="1" applyFont="1" applyBorder="1" applyAlignment="1">
      <alignment horizontal="center" vertical="center"/>
    </xf>
    <xf numFmtId="165" fontId="17" fillId="24" borderId="24" xfId="0" applyNumberFormat="1" applyFont="1" applyFill="1" applyBorder="1" applyAlignment="1">
      <alignment horizontal="center" vertical="center"/>
    </xf>
    <xf numFmtId="9" fontId="34" fillId="13" borderId="116" xfId="0" applyNumberFormat="1" applyFont="1" applyFill="1" applyBorder="1" applyAlignment="1">
      <alignment horizontal="center" vertical="center" wrapText="1"/>
    </xf>
    <xf numFmtId="9" fontId="34" fillId="0" borderId="114" xfId="0" applyNumberFormat="1" applyFont="1" applyBorder="1" applyAlignment="1">
      <alignment horizontal="center" vertical="center" wrapText="1"/>
    </xf>
    <xf numFmtId="10" fontId="4" fillId="31" borderId="24" xfId="0" applyNumberFormat="1" applyFont="1" applyFill="1" applyBorder="1" applyAlignment="1">
      <alignment horizontal="center" vertical="center" wrapText="1"/>
    </xf>
    <xf numFmtId="10" fontId="0" fillId="0" borderId="0" xfId="1" applyNumberFormat="1" applyFont="1" applyAlignment="1"/>
    <xf numFmtId="165" fontId="26" fillId="24" borderId="108" xfId="1" applyNumberFormat="1" applyFont="1" applyFill="1" applyBorder="1" applyAlignment="1">
      <alignment horizontal="center" vertical="center" wrapText="1"/>
    </xf>
    <xf numFmtId="10" fontId="15" fillId="0" borderId="101" xfId="1" applyNumberFormat="1" applyFont="1" applyBorder="1" applyAlignment="1">
      <alignment horizontal="center" vertical="center"/>
    </xf>
    <xf numFmtId="165" fontId="33" fillId="19" borderId="108" xfId="1" applyNumberFormat="1" applyFont="1" applyFill="1" applyBorder="1" applyAlignment="1">
      <alignment horizontal="center" vertical="center" wrapText="1"/>
    </xf>
    <xf numFmtId="165" fontId="26" fillId="39" borderId="108" xfId="1" applyNumberFormat="1" applyFont="1" applyFill="1" applyBorder="1" applyAlignment="1">
      <alignment horizontal="center" vertical="center" wrapText="1"/>
    </xf>
    <xf numFmtId="0" fontId="35" fillId="0" borderId="1" xfId="0" applyFont="1" applyBorder="1" applyAlignment="1">
      <alignment wrapText="1"/>
    </xf>
    <xf numFmtId="0" fontId="36" fillId="0" borderId="0" xfId="0" applyFont="1" applyAlignment="1"/>
    <xf numFmtId="0" fontId="35" fillId="0" borderId="4" xfId="0" applyFont="1" applyBorder="1" applyAlignment="1">
      <alignment wrapText="1"/>
    </xf>
    <xf numFmtId="0" fontId="35" fillId="40" borderId="9" xfId="0" applyFont="1" applyFill="1" applyBorder="1" applyAlignment="1">
      <alignment vertical="center" wrapText="1"/>
    </xf>
    <xf numFmtId="0" fontId="35" fillId="14" borderId="9" xfId="0" applyFont="1" applyFill="1" applyBorder="1" applyAlignment="1">
      <alignment vertical="center" wrapText="1"/>
    </xf>
    <xf numFmtId="0" fontId="35" fillId="27" borderId="9" xfId="0" applyFont="1" applyFill="1" applyBorder="1" applyAlignment="1">
      <alignment vertical="center" wrapText="1"/>
    </xf>
    <xf numFmtId="0" fontId="35" fillId="0" borderId="15" xfId="0" applyFont="1" applyBorder="1" applyAlignment="1">
      <alignment wrapText="1"/>
    </xf>
    <xf numFmtId="0" fontId="35" fillId="0" borderId="24" xfId="0" applyFont="1" applyBorder="1" applyAlignment="1">
      <alignment wrapText="1"/>
    </xf>
    <xf numFmtId="9" fontId="34" fillId="8" borderId="116" xfId="0" applyNumberFormat="1" applyFont="1" applyFill="1" applyBorder="1" applyAlignment="1">
      <alignment horizontal="center" vertical="center" wrapText="1"/>
    </xf>
    <xf numFmtId="165" fontId="34" fillId="31" borderId="24" xfId="0" applyNumberFormat="1" applyFont="1" applyFill="1" applyBorder="1" applyAlignment="1">
      <alignment horizontal="center" vertical="center" wrapText="1"/>
    </xf>
    <xf numFmtId="165" fontId="34" fillId="11" borderId="24" xfId="0" applyNumberFormat="1" applyFont="1" applyFill="1" applyBorder="1" applyAlignment="1">
      <alignment horizontal="center" vertical="center" wrapText="1"/>
    </xf>
    <xf numFmtId="0" fontId="35" fillId="0" borderId="34" xfId="0" applyFont="1" applyBorder="1" applyAlignment="1">
      <alignment wrapText="1"/>
    </xf>
    <xf numFmtId="165" fontId="34" fillId="29" borderId="24" xfId="0" applyNumberFormat="1" applyFont="1" applyFill="1" applyBorder="1" applyAlignment="1">
      <alignment horizontal="center" vertical="center" wrapText="1"/>
    </xf>
    <xf numFmtId="0" fontId="35" fillId="0" borderId="24" xfId="0" applyFont="1" applyBorder="1" applyAlignment="1">
      <alignment vertical="center" wrapText="1"/>
    </xf>
    <xf numFmtId="0" fontId="34" fillId="0" borderId="34" xfId="0" applyFont="1" applyBorder="1" applyAlignment="1">
      <alignment horizontal="center" vertical="center" wrapText="1"/>
    </xf>
    <xf numFmtId="9" fontId="35" fillId="0" borderId="24" xfId="0" applyNumberFormat="1" applyFont="1" applyBorder="1" applyAlignment="1">
      <alignment horizontal="center" vertical="center" wrapText="1"/>
    </xf>
    <xf numFmtId="165" fontId="35" fillId="0" borderId="24" xfId="0" applyNumberFormat="1" applyFont="1" applyBorder="1" applyAlignment="1">
      <alignment horizontal="center" vertical="center" wrapText="1"/>
    </xf>
    <xf numFmtId="0" fontId="35" fillId="0" borderId="20" xfId="0" applyFont="1" applyBorder="1" applyAlignment="1">
      <alignment wrapText="1"/>
    </xf>
    <xf numFmtId="9" fontId="34" fillId="0" borderId="72" xfId="0" applyNumberFormat="1" applyFont="1" applyBorder="1" applyAlignment="1">
      <alignment horizontal="center" vertical="center" wrapText="1"/>
    </xf>
    <xf numFmtId="0" fontId="35" fillId="14" borderId="16" xfId="0" applyFont="1" applyFill="1" applyBorder="1" applyAlignment="1">
      <alignment vertical="center" wrapText="1"/>
    </xf>
    <xf numFmtId="0" fontId="35" fillId="27" borderId="16" xfId="0" applyFont="1" applyFill="1" applyBorder="1" applyAlignment="1">
      <alignment vertical="center" wrapText="1"/>
    </xf>
    <xf numFmtId="9" fontId="34" fillId="19" borderId="114" xfId="0" applyNumberFormat="1" applyFont="1" applyFill="1" applyBorder="1" applyAlignment="1">
      <alignment horizontal="center" vertical="center" wrapText="1"/>
    </xf>
    <xf numFmtId="0" fontId="35" fillId="0" borderId="44" xfId="0" applyFont="1" applyBorder="1" applyAlignment="1">
      <alignment wrapText="1"/>
    </xf>
    <xf numFmtId="9" fontId="34" fillId="8" borderId="91" xfId="0" applyNumberFormat="1" applyFont="1" applyFill="1" applyBorder="1" applyAlignment="1">
      <alignment horizontal="center" vertical="center" wrapText="1"/>
    </xf>
    <xf numFmtId="9" fontId="34" fillId="8" borderId="34" xfId="0" applyNumberFormat="1" applyFont="1" applyFill="1" applyBorder="1" applyAlignment="1">
      <alignment horizontal="center" vertical="center" wrapText="1"/>
    </xf>
    <xf numFmtId="0" fontId="34" fillId="0" borderId="24" xfId="0" applyFont="1" applyBorder="1" applyAlignment="1">
      <alignment horizontal="center" vertical="center" wrapText="1"/>
    </xf>
    <xf numFmtId="0" fontId="35" fillId="40" borderId="16" xfId="0" applyFont="1" applyFill="1" applyBorder="1" applyAlignment="1">
      <alignment vertical="center" wrapText="1"/>
    </xf>
    <xf numFmtId="0" fontId="35" fillId="0" borderId="45" xfId="0" applyFont="1" applyBorder="1" applyAlignment="1">
      <alignment wrapText="1"/>
    </xf>
    <xf numFmtId="0" fontId="35" fillId="0" borderId="25" xfId="0" applyFont="1" applyBorder="1" applyAlignment="1">
      <alignment wrapText="1"/>
    </xf>
    <xf numFmtId="0" fontId="35" fillId="0" borderId="118" xfId="0" applyFont="1" applyBorder="1" applyAlignment="1">
      <alignment wrapText="1"/>
    </xf>
    <xf numFmtId="0" fontId="35" fillId="14" borderId="44" xfId="0" applyFont="1" applyFill="1" applyBorder="1" applyAlignment="1">
      <alignment wrapText="1"/>
    </xf>
    <xf numFmtId="0" fontId="35" fillId="0" borderId="44" xfId="0" applyFont="1" applyBorder="1" applyAlignment="1">
      <alignment vertical="center"/>
    </xf>
    <xf numFmtId="0" fontId="39" fillId="0" borderId="4" xfId="0" applyFont="1" applyBorder="1" applyAlignment="1">
      <alignment wrapText="1"/>
    </xf>
    <xf numFmtId="0" fontId="40" fillId="0" borderId="0" xfId="0" applyFont="1" applyAlignment="1"/>
    <xf numFmtId="0" fontId="39" fillId="0" borderId="1" xfId="0" applyFont="1" applyBorder="1" applyAlignment="1">
      <alignment wrapText="1"/>
    </xf>
    <xf numFmtId="0" fontId="41" fillId="0" borderId="24" xfId="0" applyFont="1" applyBorder="1" applyAlignment="1">
      <alignment horizontal="center" vertical="center" wrapText="1"/>
    </xf>
    <xf numFmtId="0" fontId="42" fillId="0" borderId="1" xfId="0" applyFont="1" applyBorder="1" applyAlignment="1">
      <alignment wrapText="1"/>
    </xf>
    <xf numFmtId="0" fontId="42" fillId="0" borderId="3" xfId="0" applyFont="1" applyBorder="1" applyAlignment="1">
      <alignment wrapText="1"/>
    </xf>
    <xf numFmtId="0" fontId="43" fillId="0" borderId="3" xfId="0" applyFont="1" applyBorder="1" applyAlignment="1">
      <alignment wrapText="1"/>
    </xf>
    <xf numFmtId="0" fontId="44" fillId="0" borderId="0" xfId="0" applyFont="1" applyAlignment="1"/>
    <xf numFmtId="0" fontId="42" fillId="0" borderId="22" xfId="0" applyFont="1" applyBorder="1" applyAlignment="1">
      <alignment wrapText="1"/>
    </xf>
    <xf numFmtId="0" fontId="43" fillId="3" borderId="51" xfId="0" applyFont="1" applyFill="1" applyBorder="1" applyAlignment="1">
      <alignment horizontal="center" vertical="center" wrapText="1"/>
    </xf>
    <xf numFmtId="0" fontId="43" fillId="4" borderId="34" xfId="0" applyFont="1" applyFill="1" applyBorder="1" applyAlignment="1">
      <alignment horizontal="center" vertical="center" wrapText="1"/>
    </xf>
    <xf numFmtId="0" fontId="43" fillId="4" borderId="24" xfId="0" applyFont="1" applyFill="1" applyBorder="1" applyAlignment="1">
      <alignment horizontal="center" vertical="center" wrapText="1"/>
    </xf>
    <xf numFmtId="0" fontId="43" fillId="4" borderId="11" xfId="0" applyFont="1" applyFill="1" applyBorder="1" applyAlignment="1">
      <alignment horizontal="center" vertical="center" wrapText="1"/>
    </xf>
    <xf numFmtId="0" fontId="43" fillId="6" borderId="12" xfId="0" applyFont="1" applyFill="1" applyBorder="1" applyAlignment="1">
      <alignment horizontal="center" vertical="center" wrapText="1"/>
    </xf>
    <xf numFmtId="0" fontId="42" fillId="0" borderId="53" xfId="0" applyFont="1" applyBorder="1" applyAlignment="1">
      <alignment wrapText="1"/>
    </xf>
    <xf numFmtId="0" fontId="42" fillId="0" borderId="15" xfId="0" applyFont="1" applyBorder="1" applyAlignment="1">
      <alignment wrapText="1"/>
    </xf>
    <xf numFmtId="9" fontId="43" fillId="8" borderId="34" xfId="0" applyNumberFormat="1" applyFont="1" applyFill="1" applyBorder="1" applyAlignment="1">
      <alignment horizontal="center" vertical="center" wrapText="1"/>
    </xf>
    <xf numFmtId="9" fontId="43" fillId="8" borderId="24" xfId="0" applyNumberFormat="1" applyFont="1" applyFill="1" applyBorder="1" applyAlignment="1">
      <alignment horizontal="center" vertical="center" wrapText="1"/>
    </xf>
    <xf numFmtId="165" fontId="42" fillId="0" borderId="24" xfId="0" applyNumberFormat="1" applyFont="1" applyBorder="1" applyAlignment="1">
      <alignment vertical="center" wrapText="1"/>
    </xf>
    <xf numFmtId="165" fontId="43" fillId="31" borderId="24" xfId="0" applyNumberFormat="1" applyFont="1" applyFill="1" applyBorder="1" applyAlignment="1">
      <alignment horizontal="center" vertical="center" wrapText="1"/>
    </xf>
    <xf numFmtId="165" fontId="43" fillId="11" borderId="24" xfId="0" applyNumberFormat="1" applyFont="1" applyFill="1" applyBorder="1" applyAlignment="1">
      <alignment horizontal="center" vertical="center" wrapText="1"/>
    </xf>
    <xf numFmtId="0" fontId="42" fillId="0" borderId="24" xfId="0" applyFont="1" applyBorder="1" applyAlignment="1">
      <alignment wrapText="1"/>
    </xf>
    <xf numFmtId="165" fontId="43" fillId="37" borderId="34" xfId="0" applyNumberFormat="1" applyFont="1" applyFill="1" applyBorder="1" applyAlignment="1">
      <alignment horizontal="center" vertical="center" wrapText="1"/>
    </xf>
    <xf numFmtId="0" fontId="42" fillId="0" borderId="54" xfId="0" applyFont="1" applyBorder="1" applyAlignment="1">
      <alignment wrapText="1"/>
    </xf>
    <xf numFmtId="9" fontId="43" fillId="13" borderId="34" xfId="0" applyNumberFormat="1" applyFont="1" applyFill="1" applyBorder="1" applyAlignment="1">
      <alignment horizontal="center" vertical="center" wrapText="1"/>
    </xf>
    <xf numFmtId="0" fontId="43" fillId="0" borderId="24" xfId="0" applyFont="1" applyBorder="1" applyAlignment="1">
      <alignment vertical="center" wrapText="1"/>
    </xf>
    <xf numFmtId="0" fontId="42" fillId="0" borderId="24" xfId="0" applyFont="1" applyBorder="1" applyAlignment="1">
      <alignment vertical="center" wrapText="1"/>
    </xf>
    <xf numFmtId="165" fontId="43" fillId="29" borderId="24" xfId="0" applyNumberFormat="1" applyFont="1" applyFill="1" applyBorder="1" applyAlignment="1">
      <alignment horizontal="center" vertical="center" wrapText="1"/>
    </xf>
    <xf numFmtId="0" fontId="42" fillId="0" borderId="24" xfId="0" applyFont="1" applyBorder="1" applyAlignment="1">
      <alignment horizontal="center" vertical="center" wrapText="1"/>
    </xf>
    <xf numFmtId="165" fontId="42" fillId="4" borderId="24" xfId="0" applyNumberFormat="1" applyFont="1" applyFill="1" applyBorder="1" applyAlignment="1">
      <alignment horizontal="center" vertical="center" wrapText="1"/>
    </xf>
    <xf numFmtId="165" fontId="43" fillId="30" borderId="34" xfId="0" applyNumberFormat="1" applyFont="1" applyFill="1" applyBorder="1" applyAlignment="1">
      <alignment horizontal="center" vertical="center" wrapText="1"/>
    </xf>
    <xf numFmtId="0" fontId="42" fillId="14" borderId="55" xfId="0" applyFont="1" applyFill="1" applyBorder="1" applyAlignment="1">
      <alignment vertical="center" wrapText="1"/>
    </xf>
    <xf numFmtId="9" fontId="43" fillId="0" borderId="6" xfId="0" applyNumberFormat="1" applyFont="1" applyBorder="1" applyAlignment="1">
      <alignment horizontal="center" vertical="center" wrapText="1"/>
    </xf>
    <xf numFmtId="0" fontId="43" fillId="0" borderId="24" xfId="0" applyFont="1" applyBorder="1" applyAlignment="1">
      <alignment horizontal="center" vertical="center" wrapText="1"/>
    </xf>
    <xf numFmtId="9" fontId="42" fillId="0" borderId="24" xfId="0" applyNumberFormat="1" applyFont="1" applyBorder="1" applyAlignment="1">
      <alignment horizontal="center" vertical="center" wrapText="1"/>
    </xf>
    <xf numFmtId="9" fontId="42" fillId="0" borderId="24" xfId="0" applyNumberFormat="1" applyFont="1" applyBorder="1" applyAlignment="1">
      <alignment horizontal="center" wrapText="1"/>
    </xf>
    <xf numFmtId="10" fontId="42" fillId="0" borderId="24" xfId="0" applyNumberFormat="1" applyFont="1" applyBorder="1" applyAlignment="1">
      <alignment horizontal="center" vertical="center" wrapText="1"/>
    </xf>
    <xf numFmtId="9" fontId="42" fillId="26" borderId="34" xfId="0" applyNumberFormat="1" applyFont="1" applyFill="1" applyBorder="1" applyAlignment="1">
      <alignment horizontal="center" vertical="center" wrapText="1"/>
    </xf>
    <xf numFmtId="0" fontId="42" fillId="40" borderId="55" xfId="0" applyFont="1" applyFill="1" applyBorder="1" applyAlignment="1">
      <alignment vertical="center" wrapText="1"/>
    </xf>
    <xf numFmtId="0" fontId="42" fillId="0" borderId="56" xfId="0" applyFont="1" applyBorder="1" applyAlignment="1">
      <alignment wrapText="1"/>
    </xf>
    <xf numFmtId="0" fontId="42" fillId="14" borderId="16" xfId="0" applyFont="1" applyFill="1" applyBorder="1" applyAlignment="1">
      <alignment vertical="center" wrapText="1"/>
    </xf>
    <xf numFmtId="0" fontId="42" fillId="0" borderId="72" xfId="0" applyFont="1" applyBorder="1" applyAlignment="1">
      <alignment wrapText="1"/>
    </xf>
    <xf numFmtId="0" fontId="42" fillId="0" borderId="73" xfId="0" applyFont="1" applyBorder="1" applyAlignment="1">
      <alignment wrapText="1"/>
    </xf>
    <xf numFmtId="165" fontId="43" fillId="36" borderId="34" xfId="0" applyNumberFormat="1" applyFont="1" applyFill="1" applyBorder="1" applyAlignment="1">
      <alignment horizontal="center" vertical="center" wrapText="1"/>
    </xf>
    <xf numFmtId="0" fontId="43" fillId="0" borderId="24" xfId="0" applyFont="1" applyBorder="1" applyAlignment="1">
      <alignment wrapText="1"/>
    </xf>
    <xf numFmtId="0" fontId="42" fillId="16" borderId="22" xfId="0" applyFont="1" applyFill="1" applyBorder="1" applyAlignment="1">
      <alignment wrapText="1"/>
    </xf>
    <xf numFmtId="0" fontId="42" fillId="20" borderId="73" xfId="0" applyFont="1" applyFill="1" applyBorder="1" applyAlignment="1">
      <alignment wrapText="1"/>
    </xf>
    <xf numFmtId="9" fontId="43" fillId="20" borderId="6" xfId="0" applyNumberFormat="1" applyFont="1" applyFill="1" applyBorder="1" applyAlignment="1">
      <alignment horizontal="center" vertical="center" wrapText="1"/>
    </xf>
    <xf numFmtId="165" fontId="43" fillId="4" borderId="24" xfId="0" applyNumberFormat="1" applyFont="1" applyFill="1" applyBorder="1" applyAlignment="1">
      <alignment horizontal="center" vertical="center" wrapText="1"/>
    </xf>
    <xf numFmtId="0" fontId="42" fillId="0" borderId="73" xfId="0" applyFont="1" applyBorder="1" applyAlignment="1">
      <alignment horizontal="left" vertical="center" wrapText="1"/>
    </xf>
    <xf numFmtId="165" fontId="42" fillId="0" borderId="24" xfId="0" applyNumberFormat="1" applyFont="1" applyBorder="1" applyAlignment="1">
      <alignment horizontal="center" vertical="center" wrapText="1"/>
    </xf>
    <xf numFmtId="0" fontId="42" fillId="0" borderId="74" xfId="0" applyFont="1" applyBorder="1" applyAlignment="1">
      <alignment wrapText="1"/>
    </xf>
    <xf numFmtId="0" fontId="42" fillId="0" borderId="25" xfId="0" applyFont="1" applyBorder="1" applyAlignment="1">
      <alignment wrapText="1"/>
    </xf>
    <xf numFmtId="0" fontId="42" fillId="0" borderId="80" xfId="0" applyFont="1" applyBorder="1" applyAlignment="1">
      <alignment wrapText="1"/>
    </xf>
    <xf numFmtId="0" fontId="42" fillId="0" borderId="85" xfId="0" applyFont="1" applyBorder="1" applyAlignment="1">
      <alignment wrapText="1"/>
    </xf>
    <xf numFmtId="0" fontId="42" fillId="0" borderId="81" xfId="0" applyFont="1" applyBorder="1" applyAlignment="1">
      <alignment wrapText="1"/>
    </xf>
    <xf numFmtId="0" fontId="42" fillId="0" borderId="84" xfId="0" applyFont="1" applyBorder="1" applyAlignment="1">
      <alignment wrapText="1"/>
    </xf>
    <xf numFmtId="0" fontId="42" fillId="0" borderId="86" xfId="0" applyFont="1" applyBorder="1" applyAlignment="1">
      <alignment wrapText="1"/>
    </xf>
    <xf numFmtId="0" fontId="42" fillId="0" borderId="75" xfId="0" applyFont="1" applyBorder="1" applyAlignment="1">
      <alignment wrapText="1"/>
    </xf>
    <xf numFmtId="0" fontId="42" fillId="0" borderId="76" xfId="0" applyFont="1" applyBorder="1" applyAlignment="1">
      <alignment wrapText="1"/>
    </xf>
    <xf numFmtId="0" fontId="42" fillId="0" borderId="77" xfId="0" applyFont="1" applyBorder="1" applyAlignment="1">
      <alignment wrapText="1"/>
    </xf>
    <xf numFmtId="0" fontId="42" fillId="14" borderId="74" xfId="0" applyFont="1" applyFill="1" applyBorder="1" applyAlignment="1">
      <alignment vertical="center" wrapText="1"/>
    </xf>
    <xf numFmtId="2" fontId="42" fillId="0" borderId="24" xfId="0" applyNumberFormat="1" applyFont="1" applyBorder="1" applyAlignment="1">
      <alignment horizontal="center" vertical="center" wrapText="1"/>
    </xf>
    <xf numFmtId="0" fontId="42" fillId="14" borderId="25" xfId="0" applyFont="1" applyFill="1" applyBorder="1" applyAlignment="1">
      <alignment vertical="center" wrapText="1"/>
    </xf>
    <xf numFmtId="0" fontId="42" fillId="14" borderId="75" xfId="0" applyFont="1" applyFill="1" applyBorder="1" applyAlignment="1">
      <alignment vertical="center" wrapText="1"/>
    </xf>
    <xf numFmtId="0" fontId="42" fillId="0" borderId="20" xfId="0" applyFont="1" applyBorder="1" applyAlignment="1">
      <alignment wrapText="1"/>
    </xf>
    <xf numFmtId="0" fontId="43" fillId="0" borderId="20" xfId="0" applyFont="1" applyBorder="1" applyAlignment="1">
      <alignment wrapText="1"/>
    </xf>
    <xf numFmtId="0" fontId="43" fillId="0" borderId="1" xfId="0" applyFont="1" applyBorder="1" applyAlignment="1">
      <alignment wrapText="1"/>
    </xf>
    <xf numFmtId="0" fontId="42" fillId="0" borderId="1" xfId="0" applyFont="1" applyBorder="1" applyAlignment="1">
      <alignment horizontal="right" wrapText="1"/>
    </xf>
    <xf numFmtId="0" fontId="45" fillId="0" borderId="0" xfId="0" applyFont="1" applyAlignment="1"/>
    <xf numFmtId="0" fontId="47" fillId="0" borderId="22" xfId="0" applyFont="1" applyBorder="1" applyAlignment="1">
      <alignment wrapText="1"/>
    </xf>
    <xf numFmtId="0" fontId="47" fillId="0" borderId="53" xfId="0" applyFont="1" applyBorder="1" applyAlignment="1">
      <alignment wrapText="1"/>
    </xf>
    <xf numFmtId="9" fontId="48" fillId="0" borderId="34" xfId="0" applyNumberFormat="1" applyFont="1" applyBorder="1" applyAlignment="1">
      <alignment horizontal="center" vertical="center" wrapText="1"/>
    </xf>
    <xf numFmtId="0" fontId="49" fillId="0" borderId="24" xfId="0" applyFont="1" applyBorder="1" applyAlignment="1"/>
    <xf numFmtId="0" fontId="50" fillId="0" borderId="24" xfId="0" applyFont="1" applyBorder="1" applyAlignment="1"/>
    <xf numFmtId="165" fontId="47" fillId="0" borderId="24" xfId="0" applyNumberFormat="1" applyFont="1" applyBorder="1" applyAlignment="1">
      <alignment wrapText="1"/>
    </xf>
    <xf numFmtId="0" fontId="47" fillId="0" borderId="1" xfId="0" applyFont="1" applyBorder="1" applyAlignment="1">
      <alignment wrapText="1"/>
    </xf>
    <xf numFmtId="0" fontId="50" fillId="0" borderId="0" xfId="0" applyFont="1" applyAlignment="1"/>
    <xf numFmtId="0" fontId="42" fillId="0" borderId="17" xfId="0" applyFont="1" applyBorder="1" applyAlignment="1">
      <alignment wrapText="1"/>
    </xf>
    <xf numFmtId="0" fontId="42" fillId="20" borderId="24" xfId="0" applyFont="1" applyFill="1" applyBorder="1" applyAlignment="1">
      <alignment wrapText="1"/>
    </xf>
    <xf numFmtId="0" fontId="43" fillId="17" borderId="34" xfId="0" applyFont="1" applyFill="1" applyBorder="1" applyAlignment="1">
      <alignment horizontal="center" vertical="center" wrapText="1"/>
    </xf>
    <xf numFmtId="0" fontId="42" fillId="0" borderId="34" xfId="0" applyFont="1" applyBorder="1" applyAlignment="1">
      <alignment wrapText="1"/>
    </xf>
    <xf numFmtId="9" fontId="42" fillId="0" borderId="24" xfId="0" applyNumberFormat="1" applyFont="1" applyBorder="1" applyAlignment="1">
      <alignment vertical="center" wrapText="1"/>
    </xf>
    <xf numFmtId="10" fontId="42" fillId="0" borderId="24" xfId="0" applyNumberFormat="1" applyFont="1" applyBorder="1" applyAlignment="1">
      <alignment vertical="center" wrapText="1"/>
    </xf>
    <xf numFmtId="10" fontId="43" fillId="31" borderId="24" xfId="0" applyNumberFormat="1" applyFont="1" applyFill="1" applyBorder="1" applyAlignment="1">
      <alignment horizontal="center" vertical="center" wrapText="1"/>
    </xf>
    <xf numFmtId="165" fontId="43" fillId="11" borderId="44" xfId="0" applyNumberFormat="1" applyFont="1" applyFill="1" applyBorder="1" applyAlignment="1">
      <alignment horizontal="center" vertical="center" wrapText="1"/>
    </xf>
    <xf numFmtId="9" fontId="43" fillId="13" borderId="31" xfId="0" applyNumberFormat="1" applyFont="1" applyFill="1" applyBorder="1" applyAlignment="1">
      <alignment horizontal="center" vertical="center" wrapText="1"/>
    </xf>
    <xf numFmtId="165" fontId="43" fillId="29" borderId="44" xfId="0" applyNumberFormat="1" applyFont="1" applyFill="1" applyBorder="1" applyAlignment="1">
      <alignment horizontal="center" vertical="center" wrapText="1"/>
    </xf>
    <xf numFmtId="0" fontId="42" fillId="14" borderId="54" xfId="0" applyFont="1" applyFill="1" applyBorder="1" applyAlignment="1">
      <alignment vertical="center" wrapText="1"/>
    </xf>
    <xf numFmtId="0" fontId="42" fillId="14" borderId="115" xfId="0" applyFont="1" applyFill="1" applyBorder="1" applyAlignment="1">
      <alignment vertical="center" wrapText="1"/>
    </xf>
    <xf numFmtId="9" fontId="43" fillId="0" borderId="72" xfId="0" applyNumberFormat="1" applyFont="1" applyBorder="1" applyAlignment="1">
      <alignment horizontal="center" vertical="center" wrapText="1"/>
    </xf>
    <xf numFmtId="0" fontId="43" fillId="0" borderId="34" xfId="0" applyFont="1" applyBorder="1" applyAlignment="1">
      <alignment horizontal="center" vertical="center" wrapText="1"/>
    </xf>
    <xf numFmtId="9" fontId="42" fillId="0" borderId="44" xfId="0" applyNumberFormat="1" applyFont="1" applyBorder="1" applyAlignment="1">
      <alignment horizontal="center" vertical="center" wrapText="1"/>
    </xf>
    <xf numFmtId="9" fontId="43" fillId="0" borderId="113" xfId="0" applyNumberFormat="1" applyFont="1" applyBorder="1" applyAlignment="1">
      <alignment horizontal="center" vertical="center" wrapText="1"/>
    </xf>
    <xf numFmtId="165" fontId="43" fillId="0" borderId="113" xfId="0" applyNumberFormat="1" applyFont="1" applyBorder="1" applyAlignment="1">
      <alignment horizontal="center" vertical="center" wrapText="1"/>
    </xf>
    <xf numFmtId="165" fontId="42" fillId="0" borderId="44" xfId="0" applyNumberFormat="1" applyFont="1" applyBorder="1" applyAlignment="1">
      <alignment horizontal="center" vertical="center" wrapText="1"/>
    </xf>
    <xf numFmtId="0" fontId="42" fillId="0" borderId="115" xfId="0" applyFont="1" applyBorder="1" applyAlignment="1">
      <alignment wrapText="1"/>
    </xf>
    <xf numFmtId="9" fontId="43" fillId="13" borderId="116" xfId="0" applyNumberFormat="1" applyFont="1" applyFill="1" applyBorder="1" applyAlignment="1">
      <alignment horizontal="center" vertical="center" wrapText="1"/>
    </xf>
    <xf numFmtId="0" fontId="42" fillId="0" borderId="34" xfId="0" applyFont="1" applyBorder="1" applyAlignment="1">
      <alignment horizontal="center" vertical="center" wrapText="1"/>
    </xf>
    <xf numFmtId="9" fontId="43" fillId="8" borderId="116" xfId="0" applyNumberFormat="1" applyFont="1" applyFill="1" applyBorder="1" applyAlignment="1">
      <alignment horizontal="center" vertical="center" wrapText="1"/>
    </xf>
    <xf numFmtId="0" fontId="42" fillId="40" borderId="54" xfId="0" applyFont="1" applyFill="1" applyBorder="1" applyAlignment="1">
      <alignment vertical="center" wrapText="1"/>
    </xf>
    <xf numFmtId="0" fontId="42" fillId="20" borderId="24" xfId="0" applyFont="1" applyFill="1" applyBorder="1" applyAlignment="1">
      <alignment horizontal="center" vertical="center" wrapText="1"/>
    </xf>
    <xf numFmtId="0" fontId="42" fillId="40" borderId="115" xfId="0" applyFont="1" applyFill="1" applyBorder="1" applyAlignment="1">
      <alignment vertical="center" wrapText="1"/>
    </xf>
    <xf numFmtId="9" fontId="43" fillId="20" borderId="113" xfId="0" applyNumberFormat="1" applyFont="1" applyFill="1" applyBorder="1" applyAlignment="1">
      <alignment horizontal="center" vertical="center" wrapText="1"/>
    </xf>
    <xf numFmtId="9" fontId="43" fillId="19" borderId="113" xfId="0" applyNumberFormat="1" applyFont="1" applyFill="1" applyBorder="1" applyAlignment="1">
      <alignment horizontal="center" vertical="center" wrapText="1"/>
    </xf>
    <xf numFmtId="0" fontId="42" fillId="20" borderId="115" xfId="0" applyFont="1" applyFill="1" applyBorder="1" applyAlignment="1">
      <alignment wrapText="1"/>
    </xf>
    <xf numFmtId="2" fontId="42" fillId="20" borderId="24" xfId="0" applyNumberFormat="1" applyFont="1" applyFill="1" applyBorder="1" applyAlignment="1">
      <alignment horizontal="center" vertical="center" wrapText="1"/>
    </xf>
    <xf numFmtId="9" fontId="42" fillId="20" borderId="24" xfId="0" applyNumberFormat="1" applyFont="1" applyFill="1" applyBorder="1" applyAlignment="1">
      <alignment horizontal="center" vertical="center" wrapText="1"/>
    </xf>
    <xf numFmtId="166" fontId="42" fillId="0" borderId="24" xfId="0" applyNumberFormat="1" applyFont="1" applyBorder="1" applyAlignment="1">
      <alignment horizontal="center" vertical="center" wrapText="1"/>
    </xf>
    <xf numFmtId="0" fontId="41" fillId="0" borderId="24" xfId="0" applyFont="1" applyBorder="1" applyAlignment="1">
      <alignment horizontal="center" vertical="center"/>
    </xf>
    <xf numFmtId="10" fontId="43" fillId="11" borderId="44" xfId="0" applyNumberFormat="1" applyFont="1" applyFill="1" applyBorder="1" applyAlignment="1">
      <alignment horizontal="center" vertical="center" wrapText="1"/>
    </xf>
    <xf numFmtId="0" fontId="42" fillId="0" borderId="115" xfId="0" applyFont="1" applyBorder="1" applyAlignment="1">
      <alignment vertical="center" wrapText="1"/>
    </xf>
    <xf numFmtId="0" fontId="42" fillId="19" borderId="115" xfId="0" applyFont="1" applyFill="1" applyBorder="1" applyAlignment="1">
      <alignment wrapText="1"/>
    </xf>
    <xf numFmtId="0" fontId="41" fillId="14" borderId="14" xfId="0" applyFont="1" applyFill="1" applyBorder="1" applyAlignment="1">
      <alignment horizontal="center" vertical="center"/>
    </xf>
    <xf numFmtId="43" fontId="42" fillId="0" borderId="24" xfId="3" applyFont="1" applyBorder="1" applyAlignment="1">
      <alignment horizontal="center" vertical="center" wrapText="1"/>
    </xf>
    <xf numFmtId="0" fontId="42" fillId="20" borderId="115" xfId="0" applyFont="1" applyFill="1" applyBorder="1" applyAlignment="1">
      <alignment vertical="center" wrapText="1"/>
    </xf>
    <xf numFmtId="0" fontId="44" fillId="0" borderId="24" xfId="0" applyFont="1" applyBorder="1" applyAlignment="1">
      <alignment horizontal="center" vertical="center"/>
    </xf>
    <xf numFmtId="10" fontId="42" fillId="0" borderId="44" xfId="0" applyNumberFormat="1" applyFont="1" applyBorder="1" applyAlignment="1">
      <alignment horizontal="center" vertical="center" wrapText="1"/>
    </xf>
    <xf numFmtId="166" fontId="44" fillId="0" borderId="24" xfId="0" applyNumberFormat="1" applyFont="1" applyBorder="1" applyAlignment="1">
      <alignment horizontal="center" vertical="center"/>
    </xf>
    <xf numFmtId="0" fontId="42" fillId="46" borderId="115" xfId="0" applyFont="1" applyFill="1" applyBorder="1" applyAlignment="1">
      <alignment vertical="center" wrapText="1"/>
    </xf>
    <xf numFmtId="9" fontId="43" fillId="47" borderId="113" xfId="0" applyNumberFormat="1" applyFont="1" applyFill="1" applyBorder="1" applyAlignment="1">
      <alignment horizontal="center" vertical="center" wrapText="1"/>
    </xf>
    <xf numFmtId="0" fontId="42" fillId="0" borderId="123" xfId="0" applyFont="1" applyBorder="1" applyAlignment="1">
      <alignment wrapText="1"/>
    </xf>
    <xf numFmtId="0" fontId="44" fillId="20" borderId="24" xfId="0" applyFont="1" applyFill="1" applyBorder="1" applyAlignment="1"/>
    <xf numFmtId="0" fontId="51" fillId="0" borderId="22" xfId="0" applyFont="1" applyBorder="1" applyAlignment="1">
      <alignment wrapText="1"/>
    </xf>
    <xf numFmtId="0" fontId="51" fillId="0" borderId="34" xfId="0" applyFont="1" applyBorder="1" applyAlignment="1">
      <alignment wrapText="1"/>
    </xf>
    <xf numFmtId="9" fontId="53" fillId="0" borderId="24" xfId="0" applyNumberFormat="1" applyFont="1" applyBorder="1" applyAlignment="1">
      <alignment horizontal="center" vertical="center"/>
    </xf>
    <xf numFmtId="0" fontId="54" fillId="0" borderId="24" xfId="0" applyFont="1" applyBorder="1" applyAlignment="1"/>
    <xf numFmtId="165" fontId="51" fillId="0" borderId="24" xfId="0" applyNumberFormat="1" applyFont="1" applyBorder="1" applyAlignment="1">
      <alignment wrapText="1"/>
    </xf>
    <xf numFmtId="0" fontId="54" fillId="0" borderId="0" xfId="0" applyFont="1" applyAlignment="1"/>
    <xf numFmtId="0" fontId="43" fillId="17" borderId="69" xfId="0" applyFont="1" applyFill="1" applyBorder="1" applyAlignment="1">
      <alignment horizontal="center" vertical="center" wrapText="1"/>
    </xf>
    <xf numFmtId="0" fontId="43" fillId="4" borderId="121" xfId="0" applyFont="1" applyFill="1" applyBorder="1" applyAlignment="1">
      <alignment horizontal="center" vertical="center" wrapText="1"/>
    </xf>
    <xf numFmtId="0" fontId="42" fillId="0" borderId="4" xfId="0" applyFont="1" applyBorder="1" applyAlignment="1">
      <alignment wrapText="1"/>
    </xf>
    <xf numFmtId="0" fontId="42" fillId="0" borderId="19" xfId="0" applyFont="1" applyBorder="1" applyAlignment="1">
      <alignment wrapText="1"/>
    </xf>
    <xf numFmtId="0" fontId="42" fillId="0" borderId="16" xfId="0" applyFont="1" applyBorder="1" applyAlignment="1">
      <alignment wrapText="1"/>
    </xf>
    <xf numFmtId="165" fontId="43" fillId="8" borderId="34" xfId="0" applyNumberFormat="1" applyFont="1" applyFill="1" applyBorder="1" applyAlignment="1">
      <alignment horizontal="center" vertical="center" wrapText="1"/>
    </xf>
    <xf numFmtId="165" fontId="43" fillId="33" borderId="24" xfId="0" applyNumberFormat="1" applyFont="1" applyFill="1" applyBorder="1" applyAlignment="1">
      <alignment horizontal="center" vertical="center" wrapText="1"/>
    </xf>
    <xf numFmtId="9" fontId="43" fillId="13" borderId="112" xfId="0" applyNumberFormat="1" applyFont="1" applyFill="1" applyBorder="1" applyAlignment="1">
      <alignment horizontal="center" vertical="center" wrapText="1"/>
    </xf>
    <xf numFmtId="9" fontId="43" fillId="0" borderId="114" xfId="0" applyNumberFormat="1" applyFont="1" applyBorder="1" applyAlignment="1">
      <alignment horizontal="center" vertical="center" wrapText="1"/>
    </xf>
    <xf numFmtId="9" fontId="43" fillId="13" borderId="40" xfId="0" applyNumberFormat="1" applyFont="1" applyFill="1" applyBorder="1" applyAlignment="1">
      <alignment horizontal="center" vertical="center" wrapText="1"/>
    </xf>
    <xf numFmtId="9" fontId="43" fillId="13" borderId="117" xfId="0" applyNumberFormat="1" applyFont="1" applyFill="1" applyBorder="1" applyAlignment="1">
      <alignment horizontal="center" vertical="center" wrapText="1"/>
    </xf>
    <xf numFmtId="0" fontId="42" fillId="0" borderId="27" xfId="0" applyFont="1" applyBorder="1" applyAlignment="1">
      <alignment wrapText="1"/>
    </xf>
    <xf numFmtId="43" fontId="43" fillId="0" borderId="34" xfId="3" applyFont="1" applyBorder="1" applyAlignment="1">
      <alignment horizontal="center" vertical="center" wrapText="1"/>
    </xf>
    <xf numFmtId="0" fontId="42" fillId="20" borderId="16" xfId="0" applyFont="1" applyFill="1" applyBorder="1" applyAlignment="1">
      <alignment wrapText="1"/>
    </xf>
    <xf numFmtId="10" fontId="43" fillId="29" borderId="24" xfId="0" applyNumberFormat="1" applyFont="1" applyFill="1" applyBorder="1" applyAlignment="1">
      <alignment horizontal="center" vertical="center" wrapText="1"/>
    </xf>
    <xf numFmtId="3" fontId="41" fillId="20" borderId="24" xfId="0" applyNumberFormat="1" applyFont="1" applyFill="1" applyBorder="1" applyAlignment="1">
      <alignment horizontal="center" vertical="center" wrapText="1"/>
    </xf>
    <xf numFmtId="4" fontId="41" fillId="20" borderId="24" xfId="0" applyNumberFormat="1" applyFont="1" applyFill="1" applyBorder="1" applyAlignment="1">
      <alignment horizontal="center" vertical="center" wrapText="1"/>
    </xf>
    <xf numFmtId="9" fontId="43" fillId="0" borderId="40" xfId="0" applyNumberFormat="1" applyFont="1" applyBorder="1" applyAlignment="1">
      <alignment horizontal="center" vertical="center" wrapText="1"/>
    </xf>
    <xf numFmtId="3" fontId="41" fillId="20" borderId="31" xfId="0" applyNumberFormat="1" applyFont="1" applyFill="1" applyBorder="1" applyAlignment="1">
      <alignment horizontal="center" vertical="center" wrapText="1"/>
    </xf>
    <xf numFmtId="0" fontId="39" fillId="0" borderId="19" xfId="0" applyFont="1" applyBorder="1" applyAlignment="1">
      <alignment wrapText="1"/>
    </xf>
    <xf numFmtId="9" fontId="22" fillId="0" borderId="117" xfId="0" applyNumberFormat="1" applyFont="1" applyBorder="1" applyAlignment="1">
      <alignment horizontal="center" vertical="center" wrapText="1"/>
    </xf>
    <xf numFmtId="0" fontId="40" fillId="0" borderId="111" xfId="0" applyFont="1" applyBorder="1" applyAlignment="1"/>
    <xf numFmtId="0" fontId="40" fillId="0" borderId="48" xfId="0" applyFont="1" applyBorder="1" applyAlignment="1"/>
    <xf numFmtId="10" fontId="22" fillId="9" borderId="48" xfId="0" applyNumberFormat="1" applyFont="1" applyFill="1" applyBorder="1" applyAlignment="1">
      <alignment vertical="center" wrapText="1"/>
    </xf>
    <xf numFmtId="0" fontId="39" fillId="0" borderId="48" xfId="0" applyFont="1" applyBorder="1" applyAlignment="1">
      <alignment wrapText="1"/>
    </xf>
    <xf numFmtId="0" fontId="39" fillId="0" borderId="15" xfId="0" applyFont="1" applyBorder="1" applyAlignment="1">
      <alignment wrapText="1"/>
    </xf>
    <xf numFmtId="0" fontId="43" fillId="45" borderId="25" xfId="0" applyFont="1" applyFill="1" applyBorder="1" applyAlignment="1">
      <alignment horizontal="center" vertical="center" wrapText="1"/>
    </xf>
    <xf numFmtId="0" fontId="57" fillId="0" borderId="3" xfId="0" applyFont="1" applyBorder="1" applyAlignment="1">
      <alignment wrapText="1"/>
    </xf>
    <xf numFmtId="0" fontId="58" fillId="0" borderId="3" xfId="0" applyFont="1" applyBorder="1" applyAlignment="1">
      <alignment wrapText="1"/>
    </xf>
    <xf numFmtId="0" fontId="59" fillId="0" borderId="0" xfId="0" applyFont="1" applyAlignment="1"/>
    <xf numFmtId="0" fontId="57" fillId="0" borderId="27" xfId="0" applyFont="1" applyBorder="1" applyAlignment="1">
      <alignment wrapText="1"/>
    </xf>
    <xf numFmtId="0" fontId="58" fillId="3" borderId="122" xfId="0" applyFont="1" applyFill="1" applyBorder="1" applyAlignment="1">
      <alignment horizontal="center" vertical="center" wrapText="1"/>
    </xf>
    <xf numFmtId="0" fontId="58" fillId="4" borderId="137" xfId="0" applyFont="1" applyFill="1" applyBorder="1" applyAlignment="1">
      <alignment horizontal="center" vertical="center" wrapText="1"/>
    </xf>
    <xf numFmtId="0" fontId="58" fillId="4" borderId="138" xfId="0" applyFont="1" applyFill="1" applyBorder="1" applyAlignment="1">
      <alignment horizontal="center" vertical="center" wrapText="1"/>
    </xf>
    <xf numFmtId="0" fontId="58" fillId="50" borderId="138" xfId="0" applyFont="1" applyFill="1" applyBorder="1" applyAlignment="1">
      <alignment horizontal="center" vertical="center" wrapText="1"/>
    </xf>
    <xf numFmtId="0" fontId="58" fillId="6" borderId="139" xfId="0" applyFont="1" applyFill="1" applyBorder="1" applyAlignment="1">
      <alignment horizontal="center" vertical="center" wrapText="1"/>
    </xf>
    <xf numFmtId="0" fontId="58" fillId="45" borderId="140" xfId="0" applyFont="1" applyFill="1" applyBorder="1" applyAlignment="1">
      <alignment horizontal="center" vertical="center" wrapText="1"/>
    </xf>
    <xf numFmtId="0" fontId="58" fillId="45" borderId="27" xfId="0" applyFont="1" applyFill="1" applyBorder="1" applyAlignment="1">
      <alignment horizontal="center" vertical="center" wrapText="1"/>
    </xf>
    <xf numFmtId="0" fontId="58" fillId="45" borderId="25" xfId="0" applyFont="1" applyFill="1" applyBorder="1" applyAlignment="1">
      <alignment horizontal="center" vertical="center" wrapText="1"/>
    </xf>
    <xf numFmtId="0" fontId="58" fillId="45" borderId="142" xfId="0" applyFont="1" applyFill="1" applyBorder="1" applyAlignment="1">
      <alignment horizontal="center" vertical="center" wrapText="1"/>
    </xf>
    <xf numFmtId="0" fontId="57" fillId="0" borderId="15" xfId="0" applyFont="1" applyBorder="1" applyAlignment="1">
      <alignment wrapText="1"/>
    </xf>
    <xf numFmtId="0" fontId="57" fillId="0" borderId="1" xfId="0" applyFont="1" applyBorder="1" applyAlignment="1">
      <alignment wrapText="1"/>
    </xf>
    <xf numFmtId="0" fontId="59" fillId="0" borderId="70" xfId="0" applyFont="1" applyBorder="1" applyAlignment="1"/>
    <xf numFmtId="0" fontId="57" fillId="0" borderId="136" xfId="0" applyFont="1" applyBorder="1" applyAlignment="1">
      <alignment wrapText="1"/>
    </xf>
    <xf numFmtId="0" fontId="57" fillId="0" borderId="20" xfId="0" applyFont="1" applyBorder="1" applyAlignment="1">
      <alignment wrapText="1"/>
    </xf>
    <xf numFmtId="0" fontId="57" fillId="0" borderId="22" xfId="0" applyFont="1" applyBorder="1" applyAlignment="1">
      <alignment wrapText="1"/>
    </xf>
    <xf numFmtId="0" fontId="57" fillId="0" borderId="53" xfId="0" applyFont="1" applyBorder="1" applyAlignment="1">
      <alignment vertical="center" wrapText="1"/>
    </xf>
    <xf numFmtId="9" fontId="58" fillId="8" borderId="24" xfId="0" applyNumberFormat="1" applyFont="1" applyFill="1" applyBorder="1" applyAlignment="1">
      <alignment horizontal="center" vertical="center" wrapText="1"/>
    </xf>
    <xf numFmtId="165" fontId="58" fillId="11" borderId="24" xfId="0" applyNumberFormat="1" applyFont="1" applyFill="1" applyBorder="1" applyAlignment="1">
      <alignment horizontal="center" vertical="center" wrapText="1"/>
    </xf>
    <xf numFmtId="165" fontId="58" fillId="31" borderId="24" xfId="0" applyNumberFormat="1" applyFont="1" applyFill="1" applyBorder="1" applyAlignment="1">
      <alignment horizontal="center" vertical="center" wrapText="1"/>
    </xf>
    <xf numFmtId="165" fontId="58" fillId="37" borderId="24" xfId="0" applyNumberFormat="1" applyFont="1" applyFill="1" applyBorder="1" applyAlignment="1">
      <alignment horizontal="center" vertical="center" wrapText="1"/>
    </xf>
    <xf numFmtId="9" fontId="58" fillId="13" borderId="29" xfId="0" applyNumberFormat="1" applyFont="1" applyFill="1" applyBorder="1" applyAlignment="1">
      <alignment horizontal="center" vertical="center" wrapText="1"/>
    </xf>
    <xf numFmtId="0" fontId="57" fillId="0" borderId="24" xfId="0" applyFont="1" applyBorder="1" applyAlignment="1">
      <alignment wrapText="1"/>
    </xf>
    <xf numFmtId="165" fontId="58" fillId="29" borderId="24" xfId="0" applyNumberFormat="1" applyFont="1" applyFill="1" applyBorder="1" applyAlignment="1">
      <alignment horizontal="center" vertical="center" wrapText="1"/>
    </xf>
    <xf numFmtId="165" fontId="58" fillId="30" borderId="24" xfId="0" applyNumberFormat="1" applyFont="1" applyFill="1" applyBorder="1" applyAlignment="1">
      <alignment horizontal="center" vertical="center" wrapText="1"/>
    </xf>
    <xf numFmtId="9" fontId="58" fillId="0" borderId="6" xfId="0" applyNumberFormat="1" applyFont="1" applyBorder="1" applyAlignment="1">
      <alignment horizontal="center" vertical="center" wrapText="1"/>
    </xf>
    <xf numFmtId="0" fontId="58" fillId="0" borderId="14" xfId="0" applyFont="1" applyBorder="1" applyAlignment="1">
      <alignment horizontal="center" vertical="center" wrapText="1"/>
    </xf>
    <xf numFmtId="0" fontId="59" fillId="20" borderId="44" xfId="0" applyFont="1" applyFill="1" applyBorder="1" applyAlignment="1">
      <alignment horizontal="center" vertical="center"/>
    </xf>
    <xf numFmtId="0" fontId="59" fillId="20" borderId="24" xfId="0" applyFont="1" applyFill="1" applyBorder="1" applyAlignment="1">
      <alignment horizontal="center" vertical="center"/>
    </xf>
    <xf numFmtId="166" fontId="57" fillId="0" borderId="29" xfId="0" applyNumberFormat="1" applyFont="1" applyBorder="1" applyAlignment="1">
      <alignment horizontal="center" vertical="center" wrapText="1"/>
    </xf>
    <xf numFmtId="166" fontId="57" fillId="0" borderId="14" xfId="0" applyNumberFormat="1" applyFont="1" applyBorder="1" applyAlignment="1">
      <alignment horizontal="center" vertical="center" wrapText="1"/>
    </xf>
    <xf numFmtId="0" fontId="57" fillId="0" borderId="14" xfId="0" applyFont="1" applyBorder="1" applyAlignment="1">
      <alignment horizontal="center" vertical="center" wrapText="1"/>
    </xf>
    <xf numFmtId="0" fontId="57" fillId="22" borderId="14" xfId="0" applyFont="1" applyFill="1" applyBorder="1" applyAlignment="1">
      <alignment horizontal="center" vertical="center" wrapText="1"/>
    </xf>
    <xf numFmtId="165" fontId="57" fillId="0" borderId="42" xfId="0" applyNumberFormat="1" applyFont="1" applyBorder="1" applyAlignment="1">
      <alignment horizontal="center" vertical="center" wrapText="1"/>
    </xf>
    <xf numFmtId="165" fontId="57" fillId="0" borderId="24" xfId="0" applyNumberFormat="1" applyFont="1" applyBorder="1" applyAlignment="1">
      <alignment horizontal="center" vertical="center" wrapText="1"/>
    </xf>
    <xf numFmtId="9" fontId="57" fillId="26" borderId="24" xfId="0" applyNumberFormat="1" applyFont="1" applyFill="1" applyBorder="1" applyAlignment="1">
      <alignment horizontal="center" vertical="center" wrapText="1"/>
    </xf>
    <xf numFmtId="9" fontId="57" fillId="0" borderId="29" xfId="0" applyNumberFormat="1" applyFont="1" applyBorder="1" applyAlignment="1">
      <alignment horizontal="center" vertical="center" wrapText="1"/>
    </xf>
    <xf numFmtId="9" fontId="57" fillId="0" borderId="14" xfId="0" applyNumberFormat="1" applyFont="1" applyBorder="1" applyAlignment="1">
      <alignment horizontal="center" vertical="center" wrapText="1"/>
    </xf>
    <xf numFmtId="2" fontId="57" fillId="0" borderId="14" xfId="0" applyNumberFormat="1" applyFont="1" applyBorder="1" applyAlignment="1">
      <alignment horizontal="center" vertical="center" wrapText="1"/>
    </xf>
    <xf numFmtId="2" fontId="57" fillId="22" borderId="14" xfId="0" applyNumberFormat="1" applyFont="1" applyFill="1" applyBorder="1" applyAlignment="1">
      <alignment horizontal="center" vertical="center" wrapText="1"/>
    </xf>
    <xf numFmtId="10" fontId="57" fillId="0" borderId="24" xfId="0" applyNumberFormat="1" applyFont="1" applyBorder="1" applyAlignment="1">
      <alignment horizontal="center" vertical="center" wrapText="1"/>
    </xf>
    <xf numFmtId="0" fontId="58" fillId="0" borderId="14" xfId="0" applyFont="1" applyBorder="1" applyAlignment="1">
      <alignment wrapText="1"/>
    </xf>
    <xf numFmtId="0" fontId="57" fillId="0" borderId="42" xfId="0" applyFont="1" applyBorder="1" applyAlignment="1">
      <alignment wrapText="1"/>
    </xf>
    <xf numFmtId="165" fontId="58" fillId="29" borderId="29" xfId="0" applyNumberFormat="1" applyFont="1" applyFill="1" applyBorder="1" applyAlignment="1">
      <alignment horizontal="center" vertical="center" wrapText="1"/>
    </xf>
    <xf numFmtId="165" fontId="58" fillId="29" borderId="14" xfId="0" applyNumberFormat="1" applyFont="1" applyFill="1" applyBorder="1" applyAlignment="1">
      <alignment horizontal="center" vertical="center" wrapText="1"/>
    </xf>
    <xf numFmtId="0" fontId="57" fillId="0" borderId="14" xfId="0" applyFont="1" applyBorder="1" applyAlignment="1">
      <alignment vertical="center" wrapText="1"/>
    </xf>
    <xf numFmtId="0" fontId="57" fillId="0" borderId="42" xfId="0" applyFont="1" applyBorder="1" applyAlignment="1">
      <alignment horizontal="center" vertical="center" wrapText="1"/>
    </xf>
    <xf numFmtId="0" fontId="57" fillId="0" borderId="24" xfId="0" applyFont="1" applyBorder="1" applyAlignment="1">
      <alignment horizontal="center" vertical="center" wrapText="1"/>
    </xf>
    <xf numFmtId="165" fontId="57" fillId="0" borderId="42" xfId="0" applyNumberFormat="1" applyFont="1" applyBorder="1" applyAlignment="1">
      <alignment horizontal="center" wrapText="1"/>
    </xf>
    <xf numFmtId="168" fontId="57" fillId="0" borderId="42" xfId="3" applyNumberFormat="1" applyFont="1" applyBorder="1" applyAlignment="1">
      <alignment horizontal="center" vertical="center" wrapText="1"/>
    </xf>
    <xf numFmtId="168" fontId="57" fillId="0" borderId="24" xfId="3" applyNumberFormat="1" applyFont="1" applyBorder="1" applyAlignment="1">
      <alignment horizontal="center" vertical="center" wrapText="1"/>
    </xf>
    <xf numFmtId="168" fontId="57" fillId="0" borderId="14" xfId="3" applyNumberFormat="1" applyFont="1" applyBorder="1" applyAlignment="1">
      <alignment horizontal="center" vertical="center" wrapText="1"/>
    </xf>
    <xf numFmtId="168" fontId="57" fillId="0" borderId="14" xfId="3" applyNumberFormat="1" applyFont="1" applyBorder="1" applyAlignment="1">
      <alignment vertical="center" wrapText="1"/>
    </xf>
    <xf numFmtId="0" fontId="57" fillId="20" borderId="14" xfId="0" applyFont="1" applyFill="1" applyBorder="1" applyAlignment="1">
      <alignment horizontal="center" vertical="center" wrapText="1"/>
    </xf>
    <xf numFmtId="9" fontId="58" fillId="20" borderId="6" xfId="0" applyNumberFormat="1" applyFont="1" applyFill="1" applyBorder="1" applyAlignment="1">
      <alignment horizontal="center" vertical="center" wrapText="1"/>
    </xf>
    <xf numFmtId="164" fontId="57" fillId="0" borderId="24" xfId="0" applyNumberFormat="1" applyFont="1" applyBorder="1" applyAlignment="1">
      <alignment horizontal="center" vertical="center" wrapText="1"/>
    </xf>
    <xf numFmtId="165" fontId="58" fillId="13" borderId="29" xfId="0" applyNumberFormat="1" applyFont="1" applyFill="1" applyBorder="1" applyAlignment="1">
      <alignment horizontal="center" vertical="center" wrapText="1"/>
    </xf>
    <xf numFmtId="9" fontId="57" fillId="20" borderId="24" xfId="0" applyNumberFormat="1" applyFont="1" applyFill="1" applyBorder="1" applyAlignment="1">
      <alignment horizontal="center" vertical="center" wrapText="1"/>
    </xf>
    <xf numFmtId="9" fontId="58" fillId="0" borderId="21" xfId="0" applyNumberFormat="1" applyFont="1" applyBorder="1" applyAlignment="1">
      <alignment horizontal="center" vertical="center" wrapText="1"/>
    </xf>
    <xf numFmtId="0" fontId="58" fillId="0" borderId="29" xfId="0" applyFont="1" applyBorder="1" applyAlignment="1">
      <alignment horizontal="center" vertical="center" wrapText="1"/>
    </xf>
    <xf numFmtId="9" fontId="58" fillId="0" borderId="28" xfId="0" applyNumberFormat="1" applyFont="1" applyBorder="1" applyAlignment="1">
      <alignment horizontal="center" vertical="center" wrapText="1"/>
    </xf>
    <xf numFmtId="0" fontId="57" fillId="0" borderId="86" xfId="0" applyFont="1" applyBorder="1" applyAlignment="1">
      <alignment vertical="center" wrapText="1"/>
    </xf>
    <xf numFmtId="9" fontId="58" fillId="8" borderId="29" xfId="0" applyNumberFormat="1" applyFont="1" applyFill="1" applyBorder="1" applyAlignment="1">
      <alignment horizontal="center" vertical="center" wrapText="1"/>
    </xf>
    <xf numFmtId="9" fontId="58" fillId="8" borderId="14" xfId="0" applyNumberFormat="1" applyFont="1" applyFill="1" applyBorder="1" applyAlignment="1">
      <alignment horizontal="center" vertical="center" wrapText="1"/>
    </xf>
    <xf numFmtId="165" fontId="58" fillId="38" borderId="29" xfId="0" applyNumberFormat="1" applyFont="1" applyFill="1" applyBorder="1" applyAlignment="1">
      <alignment horizontal="center" vertical="center" wrapText="1"/>
    </xf>
    <xf numFmtId="165" fontId="58" fillId="11" borderId="14" xfId="0" applyNumberFormat="1" applyFont="1" applyFill="1" applyBorder="1" applyAlignment="1">
      <alignment horizontal="center" vertical="center" wrapText="1"/>
    </xf>
    <xf numFmtId="0" fontId="57" fillId="0" borderId="14" xfId="0" applyFont="1" applyBorder="1" applyAlignment="1">
      <alignment wrapText="1"/>
    </xf>
    <xf numFmtId="165" fontId="58" fillId="31" borderId="42" xfId="0" applyNumberFormat="1" applyFont="1" applyFill="1" applyBorder="1" applyAlignment="1">
      <alignment horizontal="center" vertical="center" wrapText="1"/>
    </xf>
    <xf numFmtId="165" fontId="58" fillId="4" borderId="24" xfId="0" applyNumberFormat="1" applyFont="1" applyFill="1" applyBorder="1" applyAlignment="1">
      <alignment horizontal="center" vertical="center" wrapText="1"/>
    </xf>
    <xf numFmtId="0" fontId="57" fillId="20" borderId="58" xfId="0" applyFont="1" applyFill="1" applyBorder="1" applyAlignment="1">
      <alignment vertical="center" wrapText="1"/>
    </xf>
    <xf numFmtId="0" fontId="57" fillId="0" borderId="54" xfId="0" applyFont="1" applyBorder="1" applyAlignment="1">
      <alignment vertical="center" wrapText="1"/>
    </xf>
    <xf numFmtId="43" fontId="58" fillId="0" borderId="14" xfId="3" applyFont="1" applyBorder="1" applyAlignment="1">
      <alignment horizontal="center" vertical="center" wrapText="1"/>
    </xf>
    <xf numFmtId="165" fontId="57" fillId="0" borderId="14" xfId="1" applyNumberFormat="1" applyFont="1" applyBorder="1" applyAlignment="1">
      <alignment horizontal="center" vertical="center" wrapText="1"/>
    </xf>
    <xf numFmtId="165" fontId="58" fillId="31" borderId="29" xfId="0" applyNumberFormat="1" applyFont="1" applyFill="1" applyBorder="1" applyAlignment="1">
      <alignment horizontal="center" vertical="center" wrapText="1"/>
    </xf>
    <xf numFmtId="165" fontId="58" fillId="33" borderId="14" xfId="0" applyNumberFormat="1" applyFont="1" applyFill="1" applyBorder="1" applyAlignment="1">
      <alignment horizontal="center" vertical="center" wrapText="1"/>
    </xf>
    <xf numFmtId="165" fontId="58" fillId="35" borderId="24" xfId="0" applyNumberFormat="1" applyFont="1" applyFill="1" applyBorder="1" applyAlignment="1">
      <alignment horizontal="center" vertical="center" wrapText="1"/>
    </xf>
    <xf numFmtId="9" fontId="57" fillId="20" borderId="29" xfId="0" applyNumberFormat="1" applyFont="1" applyFill="1" applyBorder="1" applyAlignment="1">
      <alignment horizontal="center" vertical="center" wrapText="1"/>
    </xf>
    <xf numFmtId="9" fontId="57" fillId="20" borderId="14" xfId="0" applyNumberFormat="1" applyFont="1" applyFill="1" applyBorder="1" applyAlignment="1">
      <alignment horizontal="center" vertical="center" wrapText="1"/>
    </xf>
    <xf numFmtId="0" fontId="57" fillId="0" borderId="23" xfId="0" applyFont="1" applyBorder="1" applyAlignment="1">
      <alignment horizontal="center" vertical="center" wrapText="1"/>
    </xf>
    <xf numFmtId="0" fontId="57" fillId="0" borderId="57" xfId="0" applyFont="1" applyBorder="1" applyAlignment="1">
      <alignment vertical="center" wrapText="1"/>
    </xf>
    <xf numFmtId="165" fontId="58" fillId="31" borderId="135" xfId="0" applyNumberFormat="1" applyFont="1" applyFill="1" applyBorder="1" applyAlignment="1">
      <alignment horizontal="center" vertical="center" wrapText="1"/>
    </xf>
    <xf numFmtId="165" fontId="58" fillId="33" borderId="24" xfId="0" applyNumberFormat="1" applyFont="1" applyFill="1" applyBorder="1" applyAlignment="1">
      <alignment horizontal="center" vertical="center" wrapText="1"/>
    </xf>
    <xf numFmtId="165" fontId="58" fillId="29" borderId="42" xfId="0" applyNumberFormat="1" applyFont="1" applyFill="1" applyBorder="1" applyAlignment="1">
      <alignment horizontal="center" vertical="center" wrapText="1"/>
    </xf>
    <xf numFmtId="0" fontId="57" fillId="0" borderId="24" xfId="0" applyFont="1" applyBorder="1" applyAlignment="1">
      <alignment vertical="center" wrapText="1"/>
    </xf>
    <xf numFmtId="9" fontId="57" fillId="0" borderId="0" xfId="0" applyNumberFormat="1" applyFont="1" applyBorder="1" applyAlignment="1">
      <alignment horizontal="center" vertical="center" wrapText="1"/>
    </xf>
    <xf numFmtId="3" fontId="59" fillId="0" borderId="24" xfId="0" applyNumberFormat="1" applyFont="1" applyBorder="1" applyAlignment="1">
      <alignment horizontal="center" vertical="center" wrapText="1"/>
    </xf>
    <xf numFmtId="165" fontId="57" fillId="0" borderId="135" xfId="0" applyNumberFormat="1" applyFont="1" applyBorder="1" applyAlignment="1">
      <alignment horizontal="center" vertical="center" wrapText="1"/>
    </xf>
    <xf numFmtId="9" fontId="57" fillId="0" borderId="42" xfId="0" applyNumberFormat="1" applyFont="1" applyBorder="1" applyAlignment="1">
      <alignment horizontal="center" vertical="center" wrapText="1"/>
    </xf>
    <xf numFmtId="0" fontId="59" fillId="0" borderId="44" xfId="0" applyFont="1" applyFill="1" applyBorder="1" applyAlignment="1">
      <alignment horizontal="center" vertical="center" wrapText="1"/>
    </xf>
    <xf numFmtId="0" fontId="57" fillId="20" borderId="24" xfId="0" applyFont="1" applyFill="1" applyBorder="1" applyAlignment="1">
      <alignment horizontal="center" vertical="center" wrapText="1"/>
    </xf>
    <xf numFmtId="9" fontId="58" fillId="24" borderId="29" xfId="1" applyFont="1" applyFill="1" applyBorder="1" applyAlignment="1">
      <alignment horizontal="center" vertical="center" wrapText="1"/>
    </xf>
    <xf numFmtId="9" fontId="58" fillId="39" borderId="14" xfId="1" applyFont="1" applyFill="1" applyBorder="1" applyAlignment="1">
      <alignment horizontal="center" vertical="center" wrapText="1"/>
    </xf>
    <xf numFmtId="0" fontId="62" fillId="0" borderId="44" xfId="0" applyFont="1" applyBorder="1" applyAlignment="1">
      <alignment horizontal="center" vertical="center" wrapText="1"/>
    </xf>
    <xf numFmtId="0" fontId="62" fillId="0" borderId="24" xfId="0" applyFont="1" applyBorder="1" applyAlignment="1">
      <alignment horizontal="center" vertical="center" wrapText="1"/>
    </xf>
    <xf numFmtId="0" fontId="59" fillId="0" borderId="24" xfId="0" applyFont="1" applyBorder="1" applyAlignment="1">
      <alignment horizontal="center" vertical="center"/>
    </xf>
    <xf numFmtId="9" fontId="57" fillId="0" borderId="87" xfId="0" applyNumberFormat="1" applyFont="1" applyBorder="1" applyAlignment="1">
      <alignment horizontal="center" vertical="center" wrapText="1"/>
    </xf>
    <xf numFmtId="9" fontId="57" fillId="0" borderId="23" xfId="0" applyNumberFormat="1" applyFont="1" applyBorder="1" applyAlignment="1">
      <alignment horizontal="center" vertical="center" wrapText="1"/>
    </xf>
    <xf numFmtId="9" fontId="57" fillId="0" borderId="43" xfId="0" applyNumberFormat="1" applyFont="1" applyBorder="1" applyAlignment="1">
      <alignment horizontal="center" vertical="center" wrapText="1"/>
    </xf>
    <xf numFmtId="9" fontId="57" fillId="0" borderId="135" xfId="0" applyNumberFormat="1" applyFont="1" applyBorder="1" applyAlignment="1">
      <alignment horizontal="center" vertical="center" wrapText="1"/>
    </xf>
    <xf numFmtId="9" fontId="57" fillId="0" borderId="24" xfId="0" applyNumberFormat="1" applyFont="1" applyBorder="1" applyAlignment="1">
      <alignment horizontal="center" vertical="center" wrapText="1"/>
    </xf>
    <xf numFmtId="165" fontId="58" fillId="38" borderId="135" xfId="0" applyNumberFormat="1" applyFont="1" applyFill="1" applyBorder="1" applyAlignment="1">
      <alignment horizontal="center" vertical="center" wrapText="1"/>
    </xf>
    <xf numFmtId="165" fontId="58" fillId="38" borderId="24" xfId="0" applyNumberFormat="1" applyFont="1" applyFill="1" applyBorder="1" applyAlignment="1">
      <alignment horizontal="center" vertical="center" wrapText="1"/>
    </xf>
    <xf numFmtId="0" fontId="57" fillId="20" borderId="24" xfId="0" applyFont="1" applyFill="1" applyBorder="1" applyAlignment="1">
      <alignment wrapText="1"/>
    </xf>
    <xf numFmtId="165" fontId="58" fillId="29" borderId="135" xfId="0" applyNumberFormat="1" applyFont="1" applyFill="1" applyBorder="1" applyAlignment="1">
      <alignment horizontal="center" vertical="center" wrapText="1"/>
    </xf>
    <xf numFmtId="0" fontId="57" fillId="20" borderId="24" xfId="0" applyFont="1" applyFill="1" applyBorder="1" applyAlignment="1">
      <alignment vertical="center" wrapText="1"/>
    </xf>
    <xf numFmtId="0" fontId="63" fillId="20" borderId="24" xfId="0" applyFont="1" applyFill="1" applyBorder="1" applyAlignment="1">
      <alignment horizontal="center" vertical="center" wrapText="1"/>
    </xf>
    <xf numFmtId="0" fontId="57" fillId="20" borderId="44" xfId="0" applyFont="1" applyFill="1" applyBorder="1" applyAlignment="1">
      <alignment horizontal="center" vertical="center" wrapText="1"/>
    </xf>
    <xf numFmtId="9" fontId="57" fillId="0" borderId="134" xfId="0" applyNumberFormat="1" applyFont="1" applyBorder="1" applyAlignment="1">
      <alignment horizontal="center" vertical="center" wrapText="1"/>
    </xf>
    <xf numFmtId="0" fontId="58" fillId="0" borderId="23" xfId="0" applyFont="1" applyBorder="1" applyAlignment="1">
      <alignment horizontal="center" vertical="center" wrapText="1"/>
    </xf>
    <xf numFmtId="165" fontId="57" fillId="0" borderId="141" xfId="0" applyNumberFormat="1" applyFont="1" applyBorder="1" applyAlignment="1">
      <alignment horizontal="center" vertical="center" wrapText="1"/>
    </xf>
    <xf numFmtId="9" fontId="58" fillId="13" borderId="34" xfId="0" applyNumberFormat="1" applyFont="1" applyFill="1" applyBorder="1" applyAlignment="1">
      <alignment horizontal="center" vertical="center" wrapText="1"/>
    </xf>
    <xf numFmtId="0" fontId="58" fillId="0" borderId="24" xfId="0" applyFont="1" applyBorder="1" applyAlignment="1">
      <alignment horizontal="center" vertical="center" wrapText="1"/>
    </xf>
    <xf numFmtId="165" fontId="58" fillId="29" borderId="34" xfId="0" applyNumberFormat="1" applyFont="1" applyFill="1" applyBorder="1" applyAlignment="1">
      <alignment horizontal="center" vertical="center" wrapText="1"/>
    </xf>
    <xf numFmtId="165" fontId="58" fillId="29" borderId="44" xfId="0" applyNumberFormat="1" applyFont="1" applyFill="1" applyBorder="1" applyAlignment="1">
      <alignment horizontal="center" vertical="center" wrapText="1"/>
    </xf>
    <xf numFmtId="9" fontId="57" fillId="0" borderId="34" xfId="0" applyNumberFormat="1" applyFont="1" applyBorder="1" applyAlignment="1">
      <alignment horizontal="center" vertical="center" wrapText="1"/>
    </xf>
    <xf numFmtId="9" fontId="57" fillId="0" borderId="44" xfId="0" applyNumberFormat="1" applyFont="1" applyBorder="1" applyAlignment="1">
      <alignment horizontal="center" vertical="center" wrapText="1"/>
    </xf>
    <xf numFmtId="165" fontId="57" fillId="0" borderId="115" xfId="0" applyNumberFormat="1" applyFont="1" applyBorder="1" applyAlignment="1">
      <alignment horizontal="center" vertical="center" wrapText="1"/>
    </xf>
    <xf numFmtId="0" fontId="58" fillId="0" borderId="20" xfId="0" applyFont="1" applyBorder="1" applyAlignment="1">
      <alignment wrapText="1"/>
    </xf>
    <xf numFmtId="0" fontId="58" fillId="0" borderId="1" xfId="0" applyFont="1" applyBorder="1" applyAlignment="1">
      <alignment wrapText="1"/>
    </xf>
    <xf numFmtId="0" fontId="60" fillId="0" borderId="0" xfId="0" applyFont="1" applyAlignment="1"/>
    <xf numFmtId="164" fontId="42" fillId="0" borderId="1" xfId="0" applyNumberFormat="1" applyFont="1" applyBorder="1" applyAlignment="1">
      <alignment wrapText="1"/>
    </xf>
    <xf numFmtId="0" fontId="42" fillId="0" borderId="2" xfId="0" applyFont="1" applyBorder="1" applyAlignment="1">
      <alignment wrapText="1"/>
    </xf>
    <xf numFmtId="0" fontId="42" fillId="20" borderId="31" xfId="0" applyFont="1" applyFill="1" applyBorder="1" applyAlignment="1">
      <alignment wrapText="1"/>
    </xf>
    <xf numFmtId="0" fontId="42" fillId="0" borderId="46" xfId="0" applyFont="1" applyBorder="1" applyAlignment="1">
      <alignment wrapText="1"/>
    </xf>
    <xf numFmtId="0" fontId="43" fillId="3" borderId="25" xfId="0" applyFont="1" applyFill="1" applyBorder="1" applyAlignment="1">
      <alignment horizontal="center" vertical="center" wrapText="1"/>
    </xf>
    <xf numFmtId="0" fontId="42" fillId="0" borderId="26" xfId="0" applyFont="1" applyBorder="1" applyAlignment="1">
      <alignment vertical="center" wrapText="1"/>
    </xf>
    <xf numFmtId="0" fontId="42" fillId="0" borderId="6" xfId="0" applyFont="1" applyBorder="1" applyAlignment="1">
      <alignment vertical="center" wrapText="1"/>
    </xf>
    <xf numFmtId="0" fontId="42" fillId="0" borderId="8" xfId="0" applyFont="1" applyBorder="1" applyAlignment="1">
      <alignment vertical="center" wrapText="1"/>
    </xf>
    <xf numFmtId="0" fontId="42" fillId="0" borderId="6" xfId="0" applyFont="1" applyBorder="1" applyAlignment="1">
      <alignment wrapText="1"/>
    </xf>
    <xf numFmtId="0" fontId="42" fillId="0" borderId="9" xfId="0" applyFont="1" applyBorder="1" applyAlignment="1">
      <alignment wrapText="1"/>
    </xf>
    <xf numFmtId="0" fontId="42" fillId="0" borderId="10" xfId="0" applyFont="1" applyBorder="1" applyAlignment="1">
      <alignment wrapText="1"/>
    </xf>
    <xf numFmtId="0" fontId="42" fillId="19" borderId="9" xfId="0" applyFont="1" applyFill="1" applyBorder="1" applyAlignment="1">
      <alignment wrapText="1"/>
    </xf>
    <xf numFmtId="0" fontId="42" fillId="0" borderId="9" xfId="0" applyFont="1" applyBorder="1" applyAlignment="1">
      <alignment vertical="center" wrapText="1"/>
    </xf>
    <xf numFmtId="0" fontId="42" fillId="20" borderId="9" xfId="0" applyFont="1" applyFill="1" applyBorder="1" applyAlignment="1">
      <alignment wrapText="1"/>
    </xf>
    <xf numFmtId="0" fontId="61" fillId="12" borderId="7" xfId="0" applyFont="1" applyFill="1" applyBorder="1" applyAlignment="1">
      <alignment vertical="center" wrapText="1"/>
    </xf>
    <xf numFmtId="0" fontId="61" fillId="12" borderId="8" xfId="0" applyFont="1" applyFill="1" applyBorder="1" applyAlignment="1">
      <alignment vertical="center" wrapText="1"/>
    </xf>
    <xf numFmtId="0" fontId="57" fillId="27" borderId="9" xfId="0" applyFont="1" applyFill="1" applyBorder="1" applyAlignment="1">
      <alignment vertical="center" wrapText="1"/>
    </xf>
    <xf numFmtId="0" fontId="57" fillId="0" borderId="1" xfId="0" applyFont="1" applyBorder="1" applyAlignment="1">
      <alignment horizontal="right" wrapText="1"/>
    </xf>
    <xf numFmtId="0" fontId="58" fillId="0" borderId="3" xfId="0" applyFont="1" applyBorder="1" applyAlignment="1">
      <alignment horizontal="center" wrapText="1"/>
    </xf>
    <xf numFmtId="10" fontId="57" fillId="0" borderId="3" xfId="1" applyNumberFormat="1" applyFont="1" applyBorder="1" applyAlignment="1">
      <alignment wrapText="1"/>
    </xf>
    <xf numFmtId="0" fontId="58" fillId="4" borderId="25" xfId="0" applyFont="1" applyFill="1" applyBorder="1" applyAlignment="1">
      <alignment horizontal="center" vertical="center" wrapText="1"/>
    </xf>
    <xf numFmtId="0" fontId="58" fillId="48" borderId="25" xfId="0" applyFont="1" applyFill="1" applyBorder="1" applyAlignment="1">
      <alignment horizontal="center" vertical="center" wrapText="1"/>
    </xf>
    <xf numFmtId="0" fontId="58" fillId="6" borderId="25" xfId="0" applyFont="1" applyFill="1" applyBorder="1" applyAlignment="1">
      <alignment horizontal="center" vertical="center" wrapText="1"/>
    </xf>
    <xf numFmtId="9" fontId="58" fillId="0" borderId="118" xfId="0" applyNumberFormat="1" applyFont="1" applyBorder="1" applyAlignment="1">
      <alignment horizontal="center" vertical="center" wrapText="1"/>
    </xf>
    <xf numFmtId="0" fontId="59" fillId="0" borderId="36" xfId="0" applyFont="1" applyBorder="1" applyAlignment="1"/>
    <xf numFmtId="0" fontId="59" fillId="0" borderId="41" xfId="0" applyFont="1" applyBorder="1" applyAlignment="1"/>
    <xf numFmtId="165" fontId="58" fillId="9" borderId="26" xfId="0" applyNumberFormat="1" applyFont="1" applyFill="1" applyBorder="1" applyAlignment="1">
      <alignment horizontal="center" vertical="center" wrapText="1"/>
    </xf>
    <xf numFmtId="165" fontId="58" fillId="6" borderId="26" xfId="0" applyNumberFormat="1" applyFont="1" applyFill="1" applyBorder="1" applyAlignment="1">
      <alignment horizontal="center" vertical="center" wrapText="1"/>
    </xf>
    <xf numFmtId="0" fontId="57" fillId="0" borderId="38" xfId="0" applyFont="1" applyBorder="1" applyAlignment="1">
      <alignment vertical="center" wrapText="1"/>
    </xf>
    <xf numFmtId="10" fontId="58" fillId="8" borderId="13" xfId="0" applyNumberFormat="1" applyFont="1" applyFill="1" applyBorder="1" applyAlignment="1">
      <alignment horizontal="center" vertical="center" wrapText="1"/>
    </xf>
    <xf numFmtId="10" fontId="58" fillId="8" borderId="25" xfId="0" applyNumberFormat="1" applyFont="1" applyFill="1" applyBorder="1" applyAlignment="1">
      <alignment horizontal="center" vertical="center" wrapText="1"/>
    </xf>
    <xf numFmtId="165" fontId="58" fillId="31" borderId="8" xfId="0" applyNumberFormat="1" applyFont="1" applyFill="1" applyBorder="1" applyAlignment="1">
      <alignment horizontal="center" vertical="center" wrapText="1"/>
    </xf>
    <xf numFmtId="165" fontId="58" fillId="11" borderId="8" xfId="0" applyNumberFormat="1" applyFont="1" applyFill="1" applyBorder="1" applyAlignment="1">
      <alignment horizontal="center" vertical="center" wrapText="1"/>
    </xf>
    <xf numFmtId="10" fontId="57" fillId="0" borderId="26" xfId="0" applyNumberFormat="1" applyFont="1" applyBorder="1" applyAlignment="1">
      <alignment vertical="center" wrapText="1"/>
    </xf>
    <xf numFmtId="9" fontId="58" fillId="13" borderId="8" xfId="0" applyNumberFormat="1" applyFont="1" applyFill="1" applyBorder="1" applyAlignment="1">
      <alignment horizontal="center" vertical="center" wrapText="1"/>
    </xf>
    <xf numFmtId="0" fontId="57" fillId="0" borderId="26" xfId="0" applyFont="1" applyBorder="1" applyAlignment="1">
      <alignment vertical="center" wrapText="1"/>
    </xf>
    <xf numFmtId="165" fontId="58" fillId="29" borderId="8" xfId="0" applyNumberFormat="1" applyFont="1" applyFill="1" applyBorder="1" applyAlignment="1">
      <alignment horizontal="center" vertical="center" wrapText="1"/>
    </xf>
    <xf numFmtId="0" fontId="57" fillId="0" borderId="6" xfId="0" applyFont="1" applyBorder="1" applyAlignment="1">
      <alignment vertical="center" wrapText="1"/>
    </xf>
    <xf numFmtId="0" fontId="58" fillId="0" borderId="6"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8" xfId="0" applyFont="1" applyBorder="1" applyAlignment="1">
      <alignment horizontal="center" vertical="center" wrapText="1"/>
    </xf>
    <xf numFmtId="9" fontId="57" fillId="0" borderId="6" xfId="0" applyNumberFormat="1" applyFont="1" applyBorder="1" applyAlignment="1">
      <alignment horizontal="center" vertical="center" wrapText="1"/>
    </xf>
    <xf numFmtId="9" fontId="58" fillId="11" borderId="8" xfId="0" applyNumberFormat="1" applyFont="1" applyFill="1" applyBorder="1" applyAlignment="1">
      <alignment horizontal="center" vertical="center" wrapText="1"/>
    </xf>
    <xf numFmtId="0" fontId="57" fillId="0" borderId="8" xfId="0" applyFont="1" applyBorder="1" applyAlignment="1">
      <alignment vertical="center" wrapText="1"/>
    </xf>
    <xf numFmtId="9" fontId="57" fillId="0" borderId="8" xfId="0" applyNumberFormat="1" applyFont="1" applyBorder="1" applyAlignment="1">
      <alignment horizontal="center" vertical="center" wrapText="1"/>
    </xf>
    <xf numFmtId="3" fontId="58" fillId="0" borderId="6" xfId="0" applyNumberFormat="1" applyFont="1" applyBorder="1" applyAlignment="1">
      <alignment horizontal="center" vertical="center" wrapText="1"/>
    </xf>
    <xf numFmtId="10" fontId="58" fillId="8" borderId="8" xfId="0" applyNumberFormat="1" applyFont="1" applyFill="1" applyBorder="1" applyAlignment="1">
      <alignment horizontal="center" vertical="center" wrapText="1"/>
    </xf>
    <xf numFmtId="9" fontId="57" fillId="0" borderId="6" xfId="1" applyFont="1" applyBorder="1" applyAlignment="1">
      <alignment horizontal="center" vertical="center" wrapText="1"/>
    </xf>
    <xf numFmtId="9" fontId="57" fillId="0" borderId="21" xfId="0" applyNumberFormat="1" applyFont="1" applyBorder="1" applyAlignment="1">
      <alignment horizontal="center" vertical="center" wrapText="1"/>
    </xf>
    <xf numFmtId="0" fontId="57" fillId="0" borderId="21" xfId="0" applyFont="1" applyBorder="1" applyAlignment="1">
      <alignment horizontal="center" vertical="center" wrapText="1"/>
    </xf>
    <xf numFmtId="0" fontId="57" fillId="0" borderId="13" xfId="0" applyFont="1" applyBorder="1" applyAlignment="1">
      <alignment horizontal="center" vertical="center" wrapText="1"/>
    </xf>
    <xf numFmtId="9" fontId="57" fillId="0" borderId="82" xfId="0" applyNumberFormat="1" applyFont="1" applyBorder="1" applyAlignment="1">
      <alignment horizontal="center" vertical="center" wrapText="1"/>
    </xf>
    <xf numFmtId="9" fontId="57" fillId="0" borderId="88" xfId="0" applyNumberFormat="1" applyFont="1" applyBorder="1" applyAlignment="1">
      <alignment horizontal="center" vertical="center" wrapText="1"/>
    </xf>
    <xf numFmtId="0" fontId="57" fillId="0" borderId="88" xfId="0" applyFont="1" applyBorder="1" applyAlignment="1">
      <alignment horizontal="center" vertical="center" wrapText="1"/>
    </xf>
    <xf numFmtId="9" fontId="57" fillId="0" borderId="126" xfId="0" applyNumberFormat="1" applyFont="1" applyBorder="1" applyAlignment="1">
      <alignment horizontal="center" vertical="center" wrapText="1"/>
    </xf>
    <xf numFmtId="0" fontId="57" fillId="0" borderId="47" xfId="0" applyFont="1" applyBorder="1" applyAlignment="1">
      <alignment horizontal="center" vertical="center" wrapText="1"/>
    </xf>
    <xf numFmtId="165" fontId="58" fillId="29" borderId="126" xfId="0" applyNumberFormat="1" applyFont="1" applyFill="1" applyBorder="1" applyAlignment="1">
      <alignment horizontal="center" vertical="center" wrapText="1"/>
    </xf>
    <xf numFmtId="165" fontId="58" fillId="29" borderId="13" xfId="0" applyNumberFormat="1" applyFont="1" applyFill="1" applyBorder="1" applyAlignment="1">
      <alignment horizontal="center" vertical="center" wrapText="1"/>
    </xf>
    <xf numFmtId="165" fontId="58" fillId="29" borderId="72" xfId="0" applyNumberFormat="1" applyFont="1" applyFill="1" applyBorder="1" applyAlignment="1">
      <alignment horizontal="center" vertical="center" wrapText="1"/>
    </xf>
    <xf numFmtId="165" fontId="58" fillId="29" borderId="40" xfId="0" applyNumberFormat="1" applyFont="1" applyFill="1" applyBorder="1" applyAlignment="1">
      <alignment horizontal="center" vertical="center" wrapText="1"/>
    </xf>
    <xf numFmtId="0" fontId="57" fillId="0" borderId="49" xfId="0" applyFont="1" applyBorder="1" applyAlignment="1">
      <alignment vertical="center" wrapText="1"/>
    </xf>
    <xf numFmtId="9" fontId="57" fillId="0" borderId="13" xfId="0" applyNumberFormat="1" applyFont="1" applyBorder="1" applyAlignment="1">
      <alignment horizontal="center" vertical="center" wrapText="1"/>
    </xf>
    <xf numFmtId="9" fontId="57" fillId="0" borderId="113" xfId="0" applyNumberFormat="1" applyFont="1" applyBorder="1" applyAlignment="1">
      <alignment horizontal="center" vertical="center" wrapText="1"/>
    </xf>
    <xf numFmtId="9" fontId="57" fillId="0" borderId="25" xfId="0" applyNumberFormat="1" applyFont="1" applyBorder="1" applyAlignment="1">
      <alignment horizontal="center" vertical="center" wrapText="1"/>
    </xf>
    <xf numFmtId="0" fontId="59" fillId="0" borderId="129" xfId="0" applyFont="1" applyBorder="1" applyAlignment="1">
      <alignment horizontal="center" vertical="center" wrapText="1"/>
    </xf>
    <xf numFmtId="0" fontId="59" fillId="0" borderId="25" xfId="0" applyFont="1" applyBorder="1" applyAlignment="1">
      <alignment horizontal="center" vertical="center" wrapText="1"/>
    </xf>
    <xf numFmtId="0" fontId="59" fillId="0" borderId="37" xfId="0" applyFont="1" applyBorder="1" applyAlignment="1">
      <alignment horizontal="center" vertical="center" wrapText="1"/>
    </xf>
    <xf numFmtId="9" fontId="57" fillId="0" borderId="114" xfId="0" applyNumberFormat="1" applyFont="1" applyBorder="1" applyAlignment="1">
      <alignment horizontal="center" vertical="center" wrapText="1"/>
    </xf>
    <xf numFmtId="0" fontId="57" fillId="0" borderId="13" xfId="0" applyFont="1" applyBorder="1" applyAlignment="1">
      <alignment vertical="center" wrapText="1"/>
    </xf>
    <xf numFmtId="165" fontId="58" fillId="29" borderId="26" xfId="0" applyNumberFormat="1" applyFont="1" applyFill="1" applyBorder="1" applyAlignment="1">
      <alignment horizontal="center" vertical="center" wrapText="1"/>
    </xf>
    <xf numFmtId="165" fontId="57" fillId="0" borderId="6" xfId="1" applyNumberFormat="1" applyFont="1" applyBorder="1" applyAlignment="1">
      <alignment vertical="center" wrapText="1"/>
    </xf>
    <xf numFmtId="165" fontId="57" fillId="0" borderId="13" xfId="1" applyNumberFormat="1" applyFont="1" applyBorder="1" applyAlignment="1">
      <alignment vertical="center" wrapText="1"/>
    </xf>
    <xf numFmtId="10" fontId="58" fillId="29" borderId="8" xfId="0" applyNumberFormat="1" applyFont="1" applyFill="1" applyBorder="1" applyAlignment="1">
      <alignment horizontal="center" vertical="center" wrapText="1"/>
    </xf>
    <xf numFmtId="165" fontId="58" fillId="0" borderId="6" xfId="0" applyNumberFormat="1" applyFont="1" applyBorder="1" applyAlignment="1">
      <alignment horizontal="center" vertical="center" wrapText="1"/>
    </xf>
    <xf numFmtId="0" fontId="58" fillId="20" borderId="6" xfId="0" applyFont="1" applyFill="1" applyBorder="1" applyAlignment="1">
      <alignment horizontal="center" vertical="center" wrapText="1"/>
    </xf>
    <xf numFmtId="167" fontId="57" fillId="0" borderId="6" xfId="0" applyNumberFormat="1" applyFont="1" applyBorder="1" applyAlignment="1">
      <alignment horizontal="center" vertical="center" wrapText="1"/>
    </xf>
    <xf numFmtId="167" fontId="57" fillId="0" borderId="13" xfId="0" applyNumberFormat="1" applyFont="1" applyBorder="1" applyAlignment="1">
      <alignment horizontal="center" vertical="center" wrapText="1"/>
    </xf>
    <xf numFmtId="166" fontId="57" fillId="0" borderId="8" xfId="0" applyNumberFormat="1" applyFont="1" applyBorder="1" applyAlignment="1">
      <alignment horizontal="center" vertical="center" wrapText="1"/>
    </xf>
    <xf numFmtId="165" fontId="57" fillId="0" borderId="8" xfId="0" applyNumberFormat="1" applyFont="1" applyBorder="1" applyAlignment="1">
      <alignment horizontal="center" vertical="center" wrapText="1"/>
    </xf>
    <xf numFmtId="9" fontId="57" fillId="0" borderId="127" xfId="0" applyNumberFormat="1" applyFont="1" applyBorder="1" applyAlignment="1">
      <alignment horizontal="center" vertical="center" wrapText="1"/>
    </xf>
    <xf numFmtId="9" fontId="57" fillId="0" borderId="128" xfId="0" applyNumberFormat="1" applyFont="1" applyBorder="1" applyAlignment="1">
      <alignment horizontal="center" vertical="center" wrapText="1"/>
    </xf>
    <xf numFmtId="0" fontId="57" fillId="0" borderId="128" xfId="0" applyFont="1" applyBorder="1" applyAlignment="1">
      <alignment horizontal="center" vertical="center" wrapText="1"/>
    </xf>
    <xf numFmtId="9" fontId="57" fillId="0" borderId="26" xfId="0" applyNumberFormat="1" applyFont="1" applyBorder="1" applyAlignment="1">
      <alignment horizontal="center" vertical="center" wrapText="1"/>
    </xf>
    <xf numFmtId="0" fontId="57" fillId="0" borderId="26" xfId="0" applyFont="1" applyBorder="1" applyAlignment="1">
      <alignment horizontal="center" vertical="center" wrapText="1"/>
    </xf>
    <xf numFmtId="166" fontId="57" fillId="0" borderId="6" xfId="0" applyNumberFormat="1" applyFont="1" applyBorder="1" applyAlignment="1">
      <alignment horizontal="center" vertical="center" wrapText="1"/>
    </xf>
    <xf numFmtId="0" fontId="57" fillId="0" borderId="21" xfId="0" applyFont="1" applyBorder="1" applyAlignment="1">
      <alignment vertical="center" wrapText="1"/>
    </xf>
    <xf numFmtId="0" fontId="59" fillId="20" borderId="25" xfId="2" applyFont="1" applyFill="1" applyBorder="1" applyAlignment="1">
      <alignment horizontal="center" vertical="center"/>
    </xf>
    <xf numFmtId="10" fontId="57" fillId="0" borderId="6" xfId="0" applyNumberFormat="1" applyFont="1" applyBorder="1" applyAlignment="1">
      <alignment horizontal="center" vertical="center" wrapText="1"/>
    </xf>
    <xf numFmtId="10" fontId="57" fillId="0" borderId="8" xfId="0" applyNumberFormat="1" applyFont="1" applyBorder="1" applyAlignment="1">
      <alignment horizontal="center" vertical="center" wrapText="1"/>
    </xf>
    <xf numFmtId="10" fontId="58" fillId="0" borderId="6" xfId="0" applyNumberFormat="1" applyFont="1" applyBorder="1" applyAlignment="1">
      <alignment horizontal="center" vertical="center" wrapText="1"/>
    </xf>
    <xf numFmtId="169" fontId="57" fillId="0" borderId="6" xfId="0" applyNumberFormat="1" applyFont="1" applyBorder="1" applyAlignment="1">
      <alignment horizontal="center" vertical="center" wrapText="1"/>
    </xf>
    <xf numFmtId="165" fontId="58" fillId="35" borderId="8" xfId="0" applyNumberFormat="1" applyFont="1" applyFill="1" applyBorder="1" applyAlignment="1">
      <alignment horizontal="center" vertical="center" wrapText="1"/>
    </xf>
    <xf numFmtId="0" fontId="58" fillId="0" borderId="8" xfId="0" applyFont="1" applyBorder="1" applyAlignment="1">
      <alignment horizontal="center" vertical="center" wrapText="1"/>
    </xf>
    <xf numFmtId="165" fontId="57" fillId="0" borderId="6" xfId="0" applyNumberFormat="1" applyFont="1" applyBorder="1" applyAlignment="1">
      <alignment horizontal="center" vertical="center" wrapText="1"/>
    </xf>
    <xf numFmtId="0" fontId="58" fillId="0" borderId="1" xfId="0" applyFont="1" applyBorder="1" applyAlignment="1">
      <alignment horizontal="center" wrapText="1"/>
    </xf>
    <xf numFmtId="0" fontId="58" fillId="0" borderId="0" xfId="0" applyFont="1" applyAlignment="1">
      <alignment horizontal="center"/>
    </xf>
    <xf numFmtId="10" fontId="57" fillId="0" borderId="3" xfId="0" applyNumberFormat="1" applyFont="1" applyBorder="1" applyAlignment="1">
      <alignment wrapText="1"/>
    </xf>
    <xf numFmtId="0" fontId="58" fillId="4" borderId="8" xfId="0" applyFont="1" applyFill="1" applyBorder="1" applyAlignment="1">
      <alignment horizontal="center" vertical="center" wrapText="1"/>
    </xf>
    <xf numFmtId="0" fontId="57" fillId="0" borderId="28" xfId="0" applyFont="1" applyBorder="1" applyAlignment="1">
      <alignment vertical="center" wrapText="1"/>
    </xf>
    <xf numFmtId="165" fontId="57" fillId="4" borderId="8" xfId="0" applyNumberFormat="1" applyFont="1" applyFill="1" applyBorder="1" applyAlignment="1">
      <alignment horizontal="center" vertical="center" wrapText="1"/>
    </xf>
    <xf numFmtId="0" fontId="57" fillId="22" borderId="8" xfId="0" applyFont="1" applyFill="1" applyBorder="1" applyAlignment="1">
      <alignment horizontal="center" vertical="center" wrapText="1"/>
    </xf>
    <xf numFmtId="0" fontId="57" fillId="20" borderId="8" xfId="0" applyFont="1" applyFill="1" applyBorder="1" applyAlignment="1">
      <alignment horizontal="center" vertical="center" wrapText="1"/>
    </xf>
    <xf numFmtId="165" fontId="58" fillId="4" borderId="8" xfId="0" applyNumberFormat="1" applyFont="1" applyFill="1" applyBorder="1" applyAlignment="1">
      <alignment horizontal="center" vertical="center" wrapText="1"/>
    </xf>
    <xf numFmtId="0" fontId="57" fillId="22" borderId="21" xfId="0" applyFont="1" applyFill="1" applyBorder="1" applyAlignment="1">
      <alignment horizontal="center" vertical="center" wrapText="1"/>
    </xf>
    <xf numFmtId="0" fontId="57" fillId="22" borderId="25" xfId="0" applyFont="1" applyFill="1" applyBorder="1" applyAlignment="1">
      <alignment horizontal="center" vertical="center" wrapText="1"/>
    </xf>
    <xf numFmtId="0" fontId="57" fillId="0" borderId="25" xfId="0" applyFont="1" applyBorder="1" applyAlignment="1">
      <alignment horizontal="center" vertical="center" wrapText="1"/>
    </xf>
    <xf numFmtId="0" fontId="57" fillId="0" borderId="25" xfId="0" applyFont="1" applyBorder="1" applyAlignment="1">
      <alignment vertical="center" wrapText="1"/>
    </xf>
    <xf numFmtId="0" fontId="57" fillId="0" borderId="0" xfId="0" applyFont="1" applyBorder="1" applyAlignment="1">
      <alignment vertical="center" wrapText="1"/>
    </xf>
    <xf numFmtId="0" fontId="59" fillId="0" borderId="131" xfId="0" applyFont="1" applyBorder="1" applyAlignment="1">
      <alignment horizontal="center" vertical="center" wrapText="1"/>
    </xf>
    <xf numFmtId="0" fontId="59" fillId="0" borderId="38" xfId="0" applyFont="1" applyBorder="1" applyAlignment="1">
      <alignment horizontal="center" vertical="center" wrapText="1"/>
    </xf>
    <xf numFmtId="0" fontId="59" fillId="0" borderId="0" xfId="0" applyFont="1" applyBorder="1" applyAlignment="1">
      <alignment horizontal="center" vertical="center" wrapText="1"/>
    </xf>
    <xf numFmtId="0" fontId="59" fillId="0" borderId="70" xfId="0" applyFont="1" applyBorder="1" applyAlignment="1">
      <alignment horizontal="center" vertical="center" wrapText="1"/>
    </xf>
    <xf numFmtId="0" fontId="57" fillId="0" borderId="53" xfId="0" applyFont="1" applyBorder="1" applyAlignment="1">
      <alignment horizontal="center" vertical="center" wrapText="1"/>
    </xf>
    <xf numFmtId="169" fontId="57" fillId="0" borderId="8" xfId="0" applyNumberFormat="1" applyFont="1" applyBorder="1" applyAlignment="1">
      <alignment horizontal="center" vertical="center" wrapText="1"/>
    </xf>
    <xf numFmtId="0" fontId="57" fillId="49" borderId="8" xfId="0" applyFont="1" applyFill="1" applyBorder="1" applyAlignment="1">
      <alignment horizontal="center" vertical="center" wrapText="1"/>
    </xf>
    <xf numFmtId="0" fontId="57" fillId="0" borderId="17" xfId="0" applyFont="1" applyBorder="1" applyAlignment="1">
      <alignment wrapText="1"/>
    </xf>
    <xf numFmtId="165" fontId="58" fillId="11" borderId="13" xfId="0" applyNumberFormat="1" applyFont="1" applyFill="1" applyBorder="1" applyAlignment="1">
      <alignment horizontal="center" vertical="center" wrapText="1"/>
    </xf>
    <xf numFmtId="165" fontId="58" fillId="31" borderId="113" xfId="0" applyNumberFormat="1" applyFont="1" applyFill="1" applyBorder="1" applyAlignment="1">
      <alignment horizontal="center" vertical="center" wrapText="1"/>
    </xf>
    <xf numFmtId="165" fontId="58" fillId="29" borderId="113" xfId="0" applyNumberFormat="1" applyFont="1" applyFill="1" applyBorder="1" applyAlignment="1">
      <alignment horizontal="center" vertical="center" wrapText="1"/>
    </xf>
    <xf numFmtId="165" fontId="58" fillId="29" borderId="18" xfId="0" applyNumberFormat="1" applyFont="1" applyFill="1" applyBorder="1" applyAlignment="1">
      <alignment horizontal="center" vertical="center" wrapText="1"/>
    </xf>
    <xf numFmtId="165" fontId="58" fillId="29" borderId="76" xfId="0" applyNumberFormat="1" applyFont="1" applyFill="1" applyBorder="1" applyAlignment="1">
      <alignment horizontal="center" vertical="center" wrapText="1"/>
    </xf>
    <xf numFmtId="165" fontId="58" fillId="31" borderId="13" xfId="0" applyNumberFormat="1" applyFont="1" applyFill="1" applyBorder="1" applyAlignment="1">
      <alignment horizontal="center" vertical="center" wrapText="1"/>
    </xf>
    <xf numFmtId="165" fontId="57" fillId="0" borderId="13" xfId="0" applyNumberFormat="1" applyFont="1" applyBorder="1" applyAlignment="1">
      <alignment horizontal="center" vertical="center" wrapText="1"/>
    </xf>
    <xf numFmtId="165" fontId="57" fillId="0" borderId="113" xfId="0" applyNumberFormat="1" applyFont="1" applyBorder="1" applyAlignment="1">
      <alignment horizontal="center" vertical="center" wrapText="1"/>
    </xf>
    <xf numFmtId="9" fontId="57" fillId="0" borderId="47" xfId="0" applyNumberFormat="1" applyFont="1" applyBorder="1" applyAlignment="1">
      <alignment horizontal="center" vertical="center" wrapText="1"/>
    </xf>
    <xf numFmtId="165" fontId="57" fillId="0" borderId="132" xfId="0" applyNumberFormat="1" applyFont="1" applyBorder="1" applyAlignment="1">
      <alignment horizontal="center" vertical="center" wrapText="1"/>
    </xf>
    <xf numFmtId="165" fontId="58" fillId="4" borderId="13" xfId="0" applyNumberFormat="1" applyFont="1" applyFill="1" applyBorder="1" applyAlignment="1">
      <alignment horizontal="center" vertical="center" wrapText="1"/>
    </xf>
    <xf numFmtId="165" fontId="58" fillId="29" borderId="25" xfId="0" applyNumberFormat="1" applyFont="1" applyFill="1" applyBorder="1" applyAlignment="1">
      <alignment horizontal="center" vertical="center" wrapText="1"/>
    </xf>
    <xf numFmtId="9" fontId="57" fillId="0" borderId="18" xfId="0" applyNumberFormat="1" applyFont="1" applyBorder="1" applyAlignment="1">
      <alignment horizontal="center" vertical="center" wrapText="1"/>
    </xf>
    <xf numFmtId="9" fontId="57" fillId="0" borderId="76" xfId="0" applyNumberFormat="1" applyFont="1" applyBorder="1" applyAlignment="1">
      <alignment horizontal="center" vertical="center" wrapText="1"/>
    </xf>
    <xf numFmtId="9" fontId="57" fillId="0" borderId="132" xfId="0" applyNumberFormat="1" applyFont="1" applyBorder="1" applyAlignment="1">
      <alignment horizontal="center" vertical="center" wrapText="1"/>
    </xf>
    <xf numFmtId="165" fontId="57" fillId="0" borderId="76" xfId="0" applyNumberFormat="1" applyFont="1" applyBorder="1" applyAlignment="1">
      <alignment horizontal="center" vertical="center" wrapText="1"/>
    </xf>
    <xf numFmtId="10" fontId="57" fillId="0" borderId="13" xfId="0" applyNumberFormat="1" applyFont="1" applyBorder="1" applyAlignment="1">
      <alignment horizontal="center" vertical="center" wrapText="1"/>
    </xf>
    <xf numFmtId="10" fontId="57" fillId="0" borderId="113" xfId="0" applyNumberFormat="1" applyFont="1" applyBorder="1" applyAlignment="1">
      <alignment horizontal="center" vertical="center" wrapText="1"/>
    </xf>
    <xf numFmtId="165" fontId="58" fillId="33" borderId="13" xfId="0" applyNumberFormat="1" applyFont="1" applyFill="1" applyBorder="1" applyAlignment="1">
      <alignment horizontal="center" vertical="center" wrapText="1"/>
    </xf>
    <xf numFmtId="165" fontId="58" fillId="31" borderId="25" xfId="0" applyNumberFormat="1" applyFont="1" applyFill="1" applyBorder="1" applyAlignment="1">
      <alignment horizontal="center" vertical="center" wrapText="1"/>
    </xf>
    <xf numFmtId="9" fontId="57" fillId="0" borderId="75" xfId="0" applyNumberFormat="1" applyFont="1" applyBorder="1" applyAlignment="1">
      <alignment horizontal="center" vertical="center" wrapText="1"/>
    </xf>
    <xf numFmtId="0" fontId="57" fillId="0" borderId="3" xfId="0" applyFont="1" applyBorder="1" applyAlignment="1">
      <alignment horizontal="center" wrapText="1"/>
    </xf>
    <xf numFmtId="0" fontId="57" fillId="0" borderId="14" xfId="0" applyFont="1" applyBorder="1" applyAlignment="1">
      <alignment horizontal="center" wrapText="1"/>
    </xf>
    <xf numFmtId="0" fontId="57" fillId="0" borderId="24" xfId="0" applyFont="1" applyBorder="1" applyAlignment="1">
      <alignment horizontal="center" wrapText="1"/>
    </xf>
    <xf numFmtId="0" fontId="57" fillId="20" borderId="24" xfId="0" applyFont="1" applyFill="1" applyBorder="1" applyAlignment="1">
      <alignment horizontal="center" wrapText="1"/>
    </xf>
    <xf numFmtId="0" fontId="57" fillId="0" borderId="20" xfId="0" applyFont="1" applyBorder="1" applyAlignment="1">
      <alignment horizontal="center" wrapText="1"/>
    </xf>
    <xf numFmtId="0" fontId="57" fillId="0" borderId="1" xfId="0" applyFont="1" applyBorder="1" applyAlignment="1">
      <alignment horizontal="center" wrapText="1"/>
    </xf>
    <xf numFmtId="0" fontId="59" fillId="0" borderId="0" xfId="0" applyFont="1" applyAlignment="1">
      <alignment horizontal="center"/>
    </xf>
    <xf numFmtId="165" fontId="58" fillId="4" borderId="42" xfId="0" applyNumberFormat="1" applyFont="1" applyFill="1" applyBorder="1" applyAlignment="1">
      <alignment horizontal="center" vertical="center" wrapText="1"/>
    </xf>
    <xf numFmtId="0" fontId="57" fillId="22" borderId="23" xfId="0" applyFont="1" applyFill="1" applyBorder="1" applyAlignment="1">
      <alignment horizontal="center" vertical="center" wrapText="1"/>
    </xf>
    <xf numFmtId="165" fontId="57" fillId="20" borderId="24" xfId="0" applyNumberFormat="1" applyFont="1" applyFill="1" applyBorder="1" applyAlignment="1">
      <alignment horizontal="center" vertical="center" wrapText="1"/>
    </xf>
    <xf numFmtId="165" fontId="58" fillId="4" borderId="135" xfId="0" applyNumberFormat="1" applyFont="1" applyFill="1" applyBorder="1" applyAlignment="1">
      <alignment horizontal="center" vertical="center" wrapText="1"/>
    </xf>
    <xf numFmtId="165" fontId="58" fillId="29" borderId="23" xfId="0" applyNumberFormat="1" applyFont="1" applyFill="1" applyBorder="1" applyAlignment="1">
      <alignment horizontal="center" vertical="center" wrapText="1"/>
    </xf>
    <xf numFmtId="9" fontId="57" fillId="0" borderId="133" xfId="0" applyNumberFormat="1" applyFont="1" applyBorder="1" applyAlignment="1">
      <alignment horizontal="center" vertical="center" wrapText="1"/>
    </xf>
    <xf numFmtId="165" fontId="57" fillId="0" borderId="143" xfId="0" applyNumberFormat="1" applyFont="1" applyBorder="1" applyAlignment="1">
      <alignment horizontal="center" vertical="center" wrapText="1"/>
    </xf>
    <xf numFmtId="165" fontId="58" fillId="4" borderId="115" xfId="0" applyNumberFormat="1" applyFont="1" applyFill="1" applyBorder="1" applyAlignment="1">
      <alignment horizontal="center" vertical="center" wrapText="1"/>
    </xf>
    <xf numFmtId="0" fontId="57" fillId="22" borderId="24" xfId="0" applyFont="1" applyFill="1" applyBorder="1" applyAlignment="1">
      <alignment horizontal="center" vertical="center" wrapText="1"/>
    </xf>
    <xf numFmtId="0" fontId="59" fillId="22" borderId="24" xfId="0" applyFont="1" applyFill="1" applyBorder="1" applyAlignment="1">
      <alignment horizontal="center" vertical="center"/>
    </xf>
    <xf numFmtId="0" fontId="62" fillId="22" borderId="24" xfId="0" applyFont="1" applyFill="1" applyBorder="1" applyAlignment="1">
      <alignment horizontal="center" vertical="center" wrapText="1"/>
    </xf>
    <xf numFmtId="0" fontId="63" fillId="22" borderId="24" xfId="0" applyFont="1" applyFill="1" applyBorder="1" applyAlignment="1">
      <alignment horizontal="center" vertical="center" wrapText="1"/>
    </xf>
    <xf numFmtId="0" fontId="43" fillId="50" borderId="11" xfId="0" applyFont="1" applyFill="1" applyBorder="1" applyAlignment="1">
      <alignment horizontal="center" vertical="center" wrapText="1"/>
    </xf>
    <xf numFmtId="165" fontId="48" fillId="9" borderId="24" xfId="0" applyNumberFormat="1" applyFont="1" applyFill="1" applyBorder="1" applyAlignment="1">
      <alignment horizontal="center" vertical="center" wrapText="1"/>
    </xf>
    <xf numFmtId="165" fontId="48" fillId="6" borderId="24" xfId="0" applyNumberFormat="1" applyFont="1" applyFill="1" applyBorder="1" applyAlignment="1">
      <alignment horizontal="center" vertical="center" wrapText="1"/>
    </xf>
    <xf numFmtId="165" fontId="64" fillId="9" borderId="24" xfId="0" applyNumberFormat="1" applyFont="1" applyFill="1" applyBorder="1" applyAlignment="1">
      <alignment horizontal="center" vertical="center" wrapText="1"/>
    </xf>
    <xf numFmtId="165" fontId="64" fillId="6" borderId="24" xfId="0" applyNumberFormat="1" applyFont="1" applyFill="1" applyBorder="1" applyAlignment="1">
      <alignment horizontal="center" vertical="center" wrapText="1"/>
    </xf>
    <xf numFmtId="0" fontId="42" fillId="49" borderId="24" xfId="0" applyFont="1" applyFill="1" applyBorder="1" applyAlignment="1">
      <alignment horizontal="center" vertical="center" wrapText="1"/>
    </xf>
    <xf numFmtId="2" fontId="42" fillId="49" borderId="24" xfId="0" applyNumberFormat="1" applyFont="1" applyFill="1" applyBorder="1" applyAlignment="1">
      <alignment horizontal="center" vertical="center" wrapText="1"/>
    </xf>
    <xf numFmtId="0" fontId="41" fillId="14" borderId="0" xfId="0" applyFont="1" applyFill="1" applyBorder="1" applyAlignment="1">
      <alignment horizontal="center" vertical="center"/>
    </xf>
    <xf numFmtId="165" fontId="43" fillId="31" borderId="44" xfId="0" applyNumberFormat="1" applyFont="1" applyFill="1" applyBorder="1" applyAlignment="1">
      <alignment horizontal="center" vertical="center" wrapText="1"/>
    </xf>
    <xf numFmtId="165" fontId="52" fillId="9" borderId="24" xfId="0" applyNumberFormat="1" applyFont="1" applyFill="1" applyBorder="1" applyAlignment="1">
      <alignment horizontal="center" vertical="center" wrapText="1"/>
    </xf>
    <xf numFmtId="165" fontId="52" fillId="6" borderId="24" xfId="0" applyNumberFormat="1" applyFont="1" applyFill="1" applyBorder="1" applyAlignment="1">
      <alignment horizontal="center" vertical="center" wrapText="1"/>
    </xf>
    <xf numFmtId="10" fontId="52" fillId="9" borderId="24" xfId="0" applyNumberFormat="1" applyFont="1" applyFill="1" applyBorder="1" applyAlignment="1">
      <alignment horizontal="center" vertical="center" wrapText="1"/>
    </xf>
    <xf numFmtId="10" fontId="52" fillId="6" borderId="44" xfId="0" applyNumberFormat="1" applyFont="1" applyFill="1" applyBorder="1" applyAlignment="1">
      <alignment horizontal="center" vertical="center" wrapText="1"/>
    </xf>
    <xf numFmtId="0" fontId="42" fillId="22" borderId="24" xfId="0" applyFont="1" applyFill="1" applyBorder="1" applyAlignment="1">
      <alignment horizontal="center" vertical="center" wrapText="1"/>
    </xf>
    <xf numFmtId="2" fontId="42" fillId="22" borderId="24" xfId="0" applyNumberFormat="1" applyFont="1" applyFill="1" applyBorder="1" applyAlignment="1">
      <alignment horizontal="center" vertical="center" wrapText="1"/>
    </xf>
    <xf numFmtId="0" fontId="41" fillId="22" borderId="24" xfId="0" applyFont="1" applyFill="1" applyBorder="1" applyAlignment="1">
      <alignment horizontal="center" vertical="center" wrapText="1"/>
    </xf>
    <xf numFmtId="43" fontId="42" fillId="22" borderId="24" xfId="3" applyFont="1" applyFill="1" applyBorder="1" applyAlignment="1">
      <alignment horizontal="center" vertical="center" wrapText="1"/>
    </xf>
    <xf numFmtId="0" fontId="44" fillId="22" borderId="24" xfId="0" applyFont="1" applyFill="1" applyBorder="1" applyAlignment="1">
      <alignment horizontal="center" vertical="center"/>
    </xf>
    <xf numFmtId="166" fontId="44" fillId="22" borderId="24" xfId="0" applyNumberFormat="1" applyFont="1" applyFill="1" applyBorder="1" applyAlignment="1">
      <alignment horizontal="center" vertical="center"/>
    </xf>
    <xf numFmtId="9" fontId="42" fillId="22" borderId="24" xfId="0" applyNumberFormat="1" applyFont="1" applyFill="1" applyBorder="1" applyAlignment="1">
      <alignment horizontal="center" vertical="center" wrapText="1"/>
    </xf>
    <xf numFmtId="0" fontId="43" fillId="4" borderId="144" xfId="0" applyFont="1" applyFill="1" applyBorder="1" applyAlignment="1">
      <alignment horizontal="center" vertical="center" wrapText="1"/>
    </xf>
    <xf numFmtId="0" fontId="43" fillId="6" borderId="47" xfId="0" applyFont="1" applyFill="1" applyBorder="1" applyAlignment="1">
      <alignment horizontal="center" vertical="center" wrapText="1"/>
    </xf>
    <xf numFmtId="0" fontId="43" fillId="4" borderId="27" xfId="0" applyFont="1" applyFill="1" applyBorder="1" applyAlignment="1">
      <alignment horizontal="center" vertical="center" wrapText="1"/>
    </xf>
    <xf numFmtId="0" fontId="43" fillId="51" borderId="137" xfId="0" applyFont="1" applyFill="1" applyBorder="1" applyAlignment="1">
      <alignment horizontal="center" vertical="center" wrapText="1"/>
    </xf>
    <xf numFmtId="10" fontId="22" fillId="9" borderId="48" xfId="0" applyNumberFormat="1" applyFont="1" applyFill="1" applyBorder="1" applyAlignment="1">
      <alignment horizontal="center" vertical="center" wrapText="1"/>
    </xf>
    <xf numFmtId="10" fontId="22" fillId="6" borderId="48" xfId="0" applyNumberFormat="1" applyFont="1" applyFill="1" applyBorder="1" applyAlignment="1">
      <alignment horizontal="center" vertical="center" wrapText="1"/>
    </xf>
    <xf numFmtId="0" fontId="35" fillId="0" borderId="22" xfId="0" applyFont="1" applyBorder="1" applyAlignment="1">
      <alignment wrapText="1"/>
    </xf>
    <xf numFmtId="0" fontId="35" fillId="0" borderId="3" xfId="0" applyFont="1" applyBorder="1" applyAlignment="1">
      <alignment wrapText="1"/>
    </xf>
    <xf numFmtId="0" fontId="35" fillId="0" borderId="48" xfId="0" applyFont="1" applyBorder="1" applyAlignment="1">
      <alignment wrapText="1"/>
    </xf>
    <xf numFmtId="9" fontId="38" fillId="0" borderId="32" xfId="0" applyNumberFormat="1" applyFont="1" applyBorder="1" applyAlignment="1">
      <alignment horizontal="center" vertical="center"/>
    </xf>
    <xf numFmtId="0" fontId="36" fillId="0" borderId="48" xfId="0" applyFont="1" applyBorder="1" applyAlignment="1"/>
    <xf numFmtId="0" fontId="39" fillId="0" borderId="48" xfId="0" applyFont="1" applyBorder="1" applyAlignment="1">
      <alignment horizontal="center" wrapText="1"/>
    </xf>
    <xf numFmtId="0" fontId="34" fillId="17" borderId="69" xfId="0" applyFont="1" applyFill="1" applyBorder="1" applyAlignment="1">
      <alignment horizontal="center" vertical="center" wrapText="1"/>
    </xf>
    <xf numFmtId="0" fontId="34" fillId="4" borderId="138" xfId="0" applyFont="1" applyFill="1" applyBorder="1" applyAlignment="1">
      <alignment horizontal="center" vertical="center" wrapText="1"/>
    </xf>
    <xf numFmtId="0" fontId="34" fillId="6" borderId="139" xfId="0" applyFont="1" applyFill="1" applyBorder="1" applyAlignment="1">
      <alignment horizontal="center" vertical="center" wrapText="1"/>
    </xf>
    <xf numFmtId="0" fontId="34" fillId="51" borderId="138" xfId="0" applyFont="1" applyFill="1" applyBorder="1" applyAlignment="1">
      <alignment horizontal="center" vertical="center" wrapText="1"/>
    </xf>
    <xf numFmtId="0" fontId="35" fillId="0" borderId="24" xfId="0" applyFont="1" applyBorder="1" applyAlignment="1">
      <alignment horizontal="center" vertical="center" wrapText="1"/>
    </xf>
    <xf numFmtId="165" fontId="34" fillId="4" borderId="24" xfId="0" applyNumberFormat="1" applyFont="1" applyFill="1" applyBorder="1" applyAlignment="1">
      <alignment horizontal="center" vertical="center" wrapText="1"/>
    </xf>
    <xf numFmtId="0" fontId="34" fillId="22" borderId="24" xfId="0" applyFont="1" applyFill="1" applyBorder="1" applyAlignment="1">
      <alignment horizontal="center" vertical="center" wrapText="1"/>
    </xf>
    <xf numFmtId="3" fontId="41" fillId="22" borderId="24" xfId="0" applyNumberFormat="1" applyFont="1" applyFill="1" applyBorder="1" applyAlignment="1">
      <alignment horizontal="center" vertical="center" wrapText="1"/>
    </xf>
    <xf numFmtId="4" fontId="41" fillId="22" borderId="24" xfId="0" applyNumberFormat="1" applyFont="1" applyFill="1" applyBorder="1" applyAlignment="1">
      <alignment horizontal="center" vertical="center" wrapText="1"/>
    </xf>
    <xf numFmtId="0" fontId="57" fillId="22" borderId="6" xfId="0" applyFont="1" applyFill="1" applyBorder="1" applyAlignment="1">
      <alignment horizontal="center" vertical="center" wrapText="1"/>
    </xf>
    <xf numFmtId="0" fontId="58" fillId="0" borderId="13" xfId="0" applyFont="1" applyBorder="1" applyAlignment="1">
      <alignment horizontal="center" vertical="center" wrapText="1"/>
    </xf>
    <xf numFmtId="0" fontId="59" fillId="20" borderId="118" xfId="2" applyFont="1" applyFill="1" applyBorder="1" applyAlignment="1">
      <alignment horizontal="center" vertical="center"/>
    </xf>
    <xf numFmtId="0" fontId="57" fillId="0" borderId="72" xfId="0" applyFont="1" applyBorder="1" applyAlignment="1">
      <alignment horizontal="center" vertical="center" wrapText="1"/>
    </xf>
    <xf numFmtId="0" fontId="57" fillId="0" borderId="114" xfId="0" applyFont="1" applyBorder="1" applyAlignment="1">
      <alignment horizontal="center" vertical="center" wrapText="1"/>
    </xf>
    <xf numFmtId="0" fontId="28" fillId="5" borderId="11" xfId="0" applyFont="1" applyFill="1" applyBorder="1" applyAlignment="1">
      <alignment horizontal="center" vertical="center" wrapText="1"/>
    </xf>
    <xf numFmtId="2" fontId="57" fillId="0" borderId="8" xfId="0" applyNumberFormat="1" applyFont="1" applyBorder="1" applyAlignment="1">
      <alignment horizontal="center" vertical="center" wrapText="1"/>
    </xf>
    <xf numFmtId="0" fontId="42" fillId="19" borderId="24" xfId="0" applyFont="1" applyFill="1" applyBorder="1" applyAlignment="1">
      <alignment horizontal="center" vertical="center" wrapText="1"/>
    </xf>
    <xf numFmtId="9" fontId="43" fillId="26" borderId="24" xfId="0" applyNumberFormat="1" applyFont="1" applyFill="1" applyBorder="1" applyAlignment="1">
      <alignment horizontal="left" vertical="center" wrapText="1"/>
    </xf>
    <xf numFmtId="9" fontId="43" fillId="26" borderId="24" xfId="0" applyNumberFormat="1" applyFont="1" applyFill="1" applyBorder="1" applyAlignment="1">
      <alignment horizontal="center" vertical="center" wrapText="1"/>
    </xf>
    <xf numFmtId="0" fontId="57" fillId="0" borderId="46" xfId="0" applyFont="1" applyBorder="1" applyAlignment="1">
      <alignment wrapText="1"/>
    </xf>
    <xf numFmtId="0" fontId="58" fillId="26" borderId="24" xfId="0" applyFont="1" applyFill="1" applyBorder="1" applyAlignment="1">
      <alignment vertical="center" wrapText="1"/>
    </xf>
    <xf numFmtId="166" fontId="42" fillId="22" borderId="24" xfId="0" applyNumberFormat="1" applyFont="1" applyFill="1" applyBorder="1" applyAlignment="1">
      <alignment horizontal="center" vertical="center" wrapText="1"/>
    </xf>
    <xf numFmtId="169" fontId="57" fillId="22" borderId="14" xfId="0" applyNumberFormat="1" applyFont="1" applyFill="1" applyBorder="1" applyAlignment="1">
      <alignment horizontal="center" vertical="center" wrapText="1"/>
    </xf>
    <xf numFmtId="9" fontId="57" fillId="26" borderId="44" xfId="0" applyNumberFormat="1" applyFont="1" applyFill="1" applyBorder="1" applyAlignment="1">
      <alignment horizontal="center" vertical="center" wrapText="1"/>
    </xf>
    <xf numFmtId="0" fontId="58" fillId="19" borderId="24" xfId="0" applyFont="1" applyFill="1" applyBorder="1" applyAlignment="1">
      <alignment vertical="center" wrapText="1"/>
    </xf>
    <xf numFmtId="9" fontId="58" fillId="26" borderId="24" xfId="0" applyNumberFormat="1" applyFont="1" applyFill="1" applyBorder="1" applyAlignment="1">
      <alignment horizontal="center" vertical="center" wrapText="1"/>
    </xf>
    <xf numFmtId="1" fontId="57" fillId="22" borderId="14" xfId="0" applyNumberFormat="1" applyFont="1" applyFill="1" applyBorder="1" applyAlignment="1">
      <alignment horizontal="center" vertical="center" wrapText="1"/>
    </xf>
    <xf numFmtId="1" fontId="57" fillId="0" borderId="14" xfId="0" applyNumberFormat="1" applyFont="1" applyBorder="1" applyAlignment="1">
      <alignment vertical="center" wrapText="1"/>
    </xf>
    <xf numFmtId="10" fontId="58" fillId="29" borderId="24" xfId="0" applyNumberFormat="1" applyFont="1" applyFill="1" applyBorder="1" applyAlignment="1">
      <alignment horizontal="center" vertical="center" wrapText="1"/>
    </xf>
    <xf numFmtId="0" fontId="43" fillId="19" borderId="8" xfId="0" applyFont="1" applyFill="1" applyBorder="1" applyAlignment="1">
      <alignment vertical="center" wrapText="1"/>
    </xf>
    <xf numFmtId="0" fontId="43" fillId="44" borderId="8" xfId="0" applyFont="1" applyFill="1" applyBorder="1" applyAlignment="1">
      <alignment vertical="center" wrapText="1"/>
    </xf>
    <xf numFmtId="0" fontId="59" fillId="0" borderId="25" xfId="0" applyFont="1" applyBorder="1" applyAlignment="1"/>
    <xf numFmtId="9" fontId="43" fillId="26" borderId="25" xfId="0" applyNumberFormat="1" applyFont="1" applyFill="1" applyBorder="1" applyAlignment="1">
      <alignment horizontal="center" vertical="center" wrapText="1"/>
    </xf>
    <xf numFmtId="0" fontId="34" fillId="26" borderId="25" xfId="0" applyFont="1" applyFill="1" applyBorder="1" applyAlignment="1">
      <alignment vertical="center" wrapText="1"/>
    </xf>
    <xf numFmtId="9" fontId="57" fillId="0" borderId="8" xfId="0" applyNumberFormat="1" applyFont="1" applyBorder="1" applyAlignment="1">
      <alignment vertical="center" wrapText="1"/>
    </xf>
    <xf numFmtId="0" fontId="43" fillId="19" borderId="25" xfId="0" applyFont="1" applyFill="1" applyBorder="1" applyAlignment="1">
      <alignment vertical="center" wrapText="1"/>
    </xf>
    <xf numFmtId="0" fontId="34" fillId="26" borderId="40" xfId="0" applyFont="1" applyFill="1" applyBorder="1" applyAlignment="1">
      <alignment vertical="center" wrapText="1"/>
    </xf>
    <xf numFmtId="0" fontId="57" fillId="0" borderId="0" xfId="0" applyFont="1" applyBorder="1" applyAlignment="1">
      <alignment wrapText="1"/>
    </xf>
    <xf numFmtId="0" fontId="58" fillId="50" borderId="27" xfId="0" applyFont="1" applyFill="1" applyBorder="1" applyAlignment="1">
      <alignment horizontal="center" vertical="center" wrapText="1"/>
    </xf>
    <xf numFmtId="0" fontId="43" fillId="45" borderId="28" xfId="0" applyFont="1" applyFill="1" applyBorder="1" applyAlignment="1">
      <alignment horizontal="center" vertical="center" wrapText="1"/>
    </xf>
    <xf numFmtId="10" fontId="43" fillId="30" borderId="111" xfId="0" applyNumberFormat="1" applyFont="1" applyFill="1" applyBorder="1" applyAlignment="1">
      <alignment vertical="center" wrapText="1"/>
    </xf>
    <xf numFmtId="0" fontId="44" fillId="20" borderId="34" xfId="0" applyFont="1" applyFill="1" applyBorder="1" applyAlignment="1"/>
    <xf numFmtId="165" fontId="43" fillId="30" borderId="119" xfId="0" applyNumberFormat="1" applyFont="1" applyFill="1" applyBorder="1" applyAlignment="1">
      <alignment horizontal="center" vertical="center" wrapText="1"/>
    </xf>
    <xf numFmtId="9" fontId="42" fillId="26" borderId="28" xfId="0" applyNumberFormat="1" applyFont="1" applyFill="1" applyBorder="1" applyAlignment="1">
      <alignment horizontal="center" vertical="center" wrapText="1"/>
    </xf>
    <xf numFmtId="9" fontId="42" fillId="26" borderId="115" xfId="0" applyNumberFormat="1" applyFont="1" applyFill="1" applyBorder="1" applyAlignment="1">
      <alignment horizontal="center" vertical="center" wrapText="1"/>
    </xf>
    <xf numFmtId="9" fontId="42" fillId="44" borderId="34" xfId="0" applyNumberFormat="1" applyFont="1" applyFill="1" applyBorder="1" applyAlignment="1">
      <alignment horizontal="left" vertical="center" wrapText="1"/>
    </xf>
    <xf numFmtId="165" fontId="58" fillId="11" borderId="113" xfId="0" applyNumberFormat="1" applyFont="1" applyFill="1" applyBorder="1" applyAlignment="1">
      <alignment horizontal="center" vertical="center" wrapText="1"/>
    </xf>
    <xf numFmtId="165" fontId="58" fillId="33" borderId="113" xfId="0" applyNumberFormat="1" applyFont="1" applyFill="1" applyBorder="1" applyAlignment="1">
      <alignment horizontal="center" vertical="center" wrapText="1"/>
    </xf>
    <xf numFmtId="9" fontId="43" fillId="19" borderId="25" xfId="0" applyNumberFormat="1" applyFont="1" applyFill="1" applyBorder="1" applyAlignment="1">
      <alignment horizontal="left" vertical="center" wrapText="1"/>
    </xf>
    <xf numFmtId="9" fontId="58" fillId="26" borderId="24" xfId="0" applyNumberFormat="1" applyFont="1" applyFill="1" applyBorder="1" applyAlignment="1">
      <alignment horizontal="left" vertical="center" wrapText="1"/>
    </xf>
    <xf numFmtId="0" fontId="42" fillId="0" borderId="0" xfId="0" applyFont="1" applyBorder="1" applyAlignment="1">
      <alignment wrapText="1"/>
    </xf>
    <xf numFmtId="0" fontId="41" fillId="14" borderId="42" xfId="0" applyFont="1" applyFill="1" applyBorder="1" applyAlignment="1">
      <alignment horizontal="center" vertical="center"/>
    </xf>
    <xf numFmtId="0" fontId="41" fillId="14" borderId="24" xfId="0" applyFont="1" applyFill="1" applyBorder="1" applyAlignment="1">
      <alignment horizontal="center" vertical="center"/>
    </xf>
    <xf numFmtId="0" fontId="57" fillId="0" borderId="3" xfId="0" applyFont="1" applyBorder="1" applyAlignment="1">
      <alignment vertical="center" wrapText="1"/>
    </xf>
    <xf numFmtId="0" fontId="57" fillId="0" borderId="89" xfId="0" applyFont="1" applyBorder="1" applyAlignment="1">
      <alignment vertical="center" wrapText="1"/>
    </xf>
    <xf numFmtId="0" fontId="57" fillId="0" borderId="56" xfId="0" applyFont="1" applyBorder="1" applyAlignment="1">
      <alignment vertical="center" wrapText="1"/>
    </xf>
    <xf numFmtId="0" fontId="57" fillId="0" borderId="40" xfId="0" applyFont="1" applyBorder="1" applyAlignment="1">
      <alignment vertical="center" wrapText="1"/>
    </xf>
    <xf numFmtId="0" fontId="57" fillId="0" borderId="85" xfId="0" applyFont="1" applyBorder="1" applyAlignment="1">
      <alignment vertical="center" wrapText="1"/>
    </xf>
    <xf numFmtId="0" fontId="57" fillId="0" borderId="81" xfId="0" applyFont="1" applyBorder="1" applyAlignment="1">
      <alignment vertical="center" wrapText="1"/>
    </xf>
    <xf numFmtId="0" fontId="57" fillId="0" borderId="75" xfId="0" applyFont="1" applyBorder="1" applyAlignment="1">
      <alignment vertical="center" wrapText="1"/>
    </xf>
    <xf numFmtId="0" fontId="57" fillId="20" borderId="25" xfId="0" applyFont="1" applyFill="1" applyBorder="1" applyAlignment="1">
      <alignment vertical="center" wrapText="1"/>
    </xf>
    <xf numFmtId="0" fontId="57" fillId="0" borderId="58" xfId="0" applyFont="1" applyBorder="1" applyAlignment="1">
      <alignment vertical="center" wrapText="1"/>
    </xf>
    <xf numFmtId="0" fontId="57" fillId="0" borderId="64" xfId="0" applyFont="1" applyBorder="1" applyAlignment="1">
      <alignment vertical="center" wrapText="1"/>
    </xf>
    <xf numFmtId="0" fontId="57" fillId="0" borderId="76" xfId="0" applyFont="1" applyBorder="1" applyAlignment="1">
      <alignment vertical="center" wrapText="1"/>
    </xf>
    <xf numFmtId="0" fontId="57" fillId="0" borderId="73" xfId="0" applyFont="1" applyBorder="1" applyAlignment="1">
      <alignment vertical="center" wrapText="1"/>
    </xf>
    <xf numFmtId="0" fontId="57" fillId="0" borderId="74" xfId="0" applyFont="1" applyBorder="1" applyAlignment="1">
      <alignment vertical="center" wrapText="1"/>
    </xf>
    <xf numFmtId="0" fontId="57" fillId="0" borderId="80" xfId="0" applyFont="1" applyBorder="1" applyAlignment="1">
      <alignment vertical="center" wrapText="1"/>
    </xf>
    <xf numFmtId="0" fontId="57" fillId="0" borderId="78" xfId="0" applyFont="1" applyBorder="1" applyAlignment="1">
      <alignment vertical="center" wrapText="1"/>
    </xf>
    <xf numFmtId="0" fontId="57" fillId="20" borderId="54" xfId="0" applyFont="1" applyFill="1" applyBorder="1" applyAlignment="1">
      <alignment vertical="center" wrapText="1"/>
    </xf>
    <xf numFmtId="0" fontId="57" fillId="0" borderId="76" xfId="0" applyFont="1" applyBorder="1" applyAlignment="1">
      <alignment horizontal="center" vertical="center" wrapText="1"/>
    </xf>
    <xf numFmtId="0" fontId="57" fillId="0" borderId="73" xfId="0" applyFont="1" applyBorder="1" applyAlignment="1">
      <alignment horizontal="center" vertical="center" wrapText="1"/>
    </xf>
    <xf numFmtId="0" fontId="57" fillId="0" borderId="77" xfId="0" applyFont="1" applyBorder="1" applyAlignment="1">
      <alignment horizontal="center" vertical="center" wrapText="1"/>
    </xf>
    <xf numFmtId="0" fontId="57" fillId="0" borderId="54" xfId="0" applyFont="1" applyBorder="1" applyAlignment="1">
      <alignment horizontal="center" vertical="center" wrapText="1"/>
    </xf>
    <xf numFmtId="0" fontId="57" fillId="20" borderId="54" xfId="0" applyFont="1" applyFill="1" applyBorder="1" applyAlignment="1">
      <alignment horizontal="center" vertical="center" wrapText="1"/>
    </xf>
    <xf numFmtId="0" fontId="57" fillId="0" borderId="56" xfId="0" applyFont="1" applyBorder="1" applyAlignment="1">
      <alignment horizontal="center" vertical="center" wrapText="1"/>
    </xf>
    <xf numFmtId="0" fontId="57" fillId="0" borderId="75" xfId="0" applyFont="1" applyBorder="1" applyAlignment="1">
      <alignment horizontal="center" vertical="center" wrapText="1"/>
    </xf>
    <xf numFmtId="0" fontId="57" fillId="0" borderId="74"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77" xfId="0" applyFont="1" applyBorder="1" applyAlignment="1">
      <alignment vertical="center" wrapText="1"/>
    </xf>
    <xf numFmtId="0" fontId="57" fillId="0" borderId="61" xfId="0" applyFont="1" applyBorder="1" applyAlignment="1">
      <alignment vertical="center" wrapText="1"/>
    </xf>
    <xf numFmtId="0" fontId="57" fillId="0" borderId="20" xfId="0" applyFont="1" applyBorder="1" applyAlignment="1">
      <alignment vertical="center" wrapText="1"/>
    </xf>
    <xf numFmtId="0" fontId="57" fillId="0" borderId="1" xfId="0" applyFont="1" applyBorder="1" applyAlignment="1">
      <alignment vertical="center" wrapText="1"/>
    </xf>
    <xf numFmtId="0" fontId="59" fillId="0" borderId="0" xfId="0" applyFont="1" applyAlignment="1">
      <alignment vertical="center"/>
    </xf>
    <xf numFmtId="0" fontId="58" fillId="19" borderId="25" xfId="0" applyFont="1" applyFill="1" applyBorder="1" applyAlignment="1">
      <alignment wrapText="1"/>
    </xf>
    <xf numFmtId="0" fontId="57" fillId="19" borderId="24" xfId="0" applyFont="1" applyFill="1" applyBorder="1" applyAlignment="1">
      <alignment horizontal="center" vertical="center" wrapText="1"/>
    </xf>
    <xf numFmtId="0" fontId="58" fillId="19" borderId="25" xfId="0" applyFont="1" applyFill="1" applyBorder="1" applyAlignment="1">
      <alignment vertical="center" wrapText="1"/>
    </xf>
    <xf numFmtId="9" fontId="58" fillId="26" borderId="25" xfId="0" applyNumberFormat="1" applyFont="1" applyFill="1" applyBorder="1" applyAlignment="1">
      <alignment horizontal="center" vertical="center" wrapText="1"/>
    </xf>
    <xf numFmtId="9" fontId="58" fillId="26" borderId="40" xfId="0" applyNumberFormat="1" applyFont="1" applyFill="1" applyBorder="1" applyAlignment="1">
      <alignment horizontal="center" vertical="center" wrapText="1"/>
    </xf>
    <xf numFmtId="0" fontId="57" fillId="0" borderId="145" xfId="0" applyFont="1" applyBorder="1" applyAlignment="1">
      <alignment wrapText="1"/>
    </xf>
    <xf numFmtId="165" fontId="57" fillId="0" borderId="8" xfId="1" applyNumberFormat="1" applyFont="1" applyBorder="1" applyAlignment="1">
      <alignment horizontal="center" vertical="center" wrapText="1"/>
    </xf>
    <xf numFmtId="9" fontId="43" fillId="26" borderId="34" xfId="0" applyNumberFormat="1" applyFont="1" applyFill="1" applyBorder="1" applyAlignment="1">
      <alignment horizontal="center" vertical="center" wrapText="1"/>
    </xf>
    <xf numFmtId="0" fontId="44" fillId="0" borderId="24" xfId="0" applyFont="1" applyFill="1" applyBorder="1" applyAlignment="1">
      <alignment horizontal="center" vertical="center"/>
    </xf>
    <xf numFmtId="9" fontId="43" fillId="19" borderId="34" xfId="0" applyNumberFormat="1" applyFont="1" applyFill="1" applyBorder="1" applyAlignment="1">
      <alignment horizontal="left" vertical="center" wrapText="1"/>
    </xf>
    <xf numFmtId="0" fontId="42" fillId="20" borderId="27" xfId="0" applyFont="1" applyFill="1" applyBorder="1" applyAlignment="1">
      <alignment wrapText="1"/>
    </xf>
    <xf numFmtId="1" fontId="57" fillId="0" borderId="14" xfId="0" applyNumberFormat="1" applyFont="1" applyBorder="1" applyAlignment="1">
      <alignment horizontal="center" vertical="center" wrapText="1"/>
    </xf>
    <xf numFmtId="9" fontId="58" fillId="19" borderId="25" xfId="0" applyNumberFormat="1" applyFont="1" applyFill="1" applyBorder="1" applyAlignment="1">
      <alignment horizontal="left" vertical="center" wrapText="1"/>
    </xf>
    <xf numFmtId="169" fontId="42" fillId="0" borderId="24" xfId="0" applyNumberFormat="1" applyFont="1" applyBorder="1" applyAlignment="1">
      <alignment horizontal="center" vertical="center" wrapText="1"/>
    </xf>
    <xf numFmtId="0" fontId="43" fillId="19" borderId="34" xfId="0" applyFont="1" applyFill="1" applyBorder="1" applyAlignment="1">
      <alignment horizontal="center" vertical="center" wrapText="1"/>
    </xf>
    <xf numFmtId="9" fontId="58" fillId="26" borderId="25" xfId="0" applyNumberFormat="1" applyFont="1" applyFill="1" applyBorder="1" applyAlignment="1">
      <alignment horizontal="left" vertical="center" wrapText="1"/>
    </xf>
    <xf numFmtId="9" fontId="58" fillId="26" borderId="40" xfId="0" applyNumberFormat="1" applyFont="1" applyFill="1" applyBorder="1" applyAlignment="1">
      <alignment horizontal="left" vertical="center" wrapText="1"/>
    </xf>
    <xf numFmtId="9" fontId="15" fillId="0" borderId="24" xfId="1" applyNumberFormat="1" applyFont="1" applyBorder="1" applyAlignment="1">
      <alignment horizontal="center" vertical="center"/>
    </xf>
    <xf numFmtId="0" fontId="68" fillId="0" borderId="0" xfId="0" applyFont="1" applyAlignment="1"/>
    <xf numFmtId="0" fontId="66" fillId="0" borderId="22" xfId="0" applyFont="1" applyBorder="1" applyAlignment="1">
      <alignment wrapText="1"/>
    </xf>
    <xf numFmtId="0" fontId="66" fillId="0" borderId="53" xfId="0" applyFont="1" applyBorder="1" applyAlignment="1">
      <alignment vertical="center" wrapText="1"/>
    </xf>
    <xf numFmtId="9" fontId="67" fillId="8" borderId="34" xfId="0" applyNumberFormat="1" applyFont="1" applyFill="1" applyBorder="1" applyAlignment="1">
      <alignment horizontal="center" vertical="center" wrapText="1"/>
    </xf>
    <xf numFmtId="9" fontId="67" fillId="8" borderId="24" xfId="0" applyNumberFormat="1" applyFont="1" applyFill="1" applyBorder="1" applyAlignment="1">
      <alignment horizontal="center" vertical="center" wrapText="1"/>
    </xf>
    <xf numFmtId="9" fontId="66" fillId="0" borderId="44" xfId="0" applyNumberFormat="1" applyFont="1" applyBorder="1" applyAlignment="1">
      <alignment vertical="center" wrapText="1"/>
    </xf>
    <xf numFmtId="165" fontId="67" fillId="32" borderId="34" xfId="0" applyNumberFormat="1" applyFont="1" applyFill="1" applyBorder="1" applyAlignment="1">
      <alignment horizontal="center" vertical="center" wrapText="1"/>
    </xf>
    <xf numFmtId="165" fontId="67" fillId="34" borderId="24" xfId="0" applyNumberFormat="1" applyFont="1" applyFill="1" applyBorder="1" applyAlignment="1">
      <alignment horizontal="center" vertical="center" wrapText="1"/>
    </xf>
    <xf numFmtId="0" fontId="66" fillId="0" borderId="48" xfId="0" applyFont="1" applyBorder="1" applyAlignment="1">
      <alignment horizontal="center" wrapText="1"/>
    </xf>
    <xf numFmtId="0" fontId="66" fillId="0" borderId="48" xfId="0" applyFont="1" applyBorder="1" applyAlignment="1">
      <alignment wrapText="1"/>
    </xf>
    <xf numFmtId="165" fontId="67" fillId="31" borderId="118" xfId="0" applyNumberFormat="1" applyFont="1" applyFill="1" applyBorder="1" applyAlignment="1">
      <alignment horizontal="center" vertical="center" wrapText="1"/>
    </xf>
    <xf numFmtId="165" fontId="67" fillId="11" borderId="24" xfId="0" applyNumberFormat="1" applyFont="1" applyFill="1" applyBorder="1" applyAlignment="1">
      <alignment horizontal="center" vertical="center" wrapText="1"/>
    </xf>
    <xf numFmtId="165" fontId="67" fillId="31" borderId="24" xfId="0" applyNumberFormat="1" applyFont="1" applyFill="1" applyBorder="1" applyAlignment="1">
      <alignment horizontal="center" vertical="center" wrapText="1"/>
    </xf>
    <xf numFmtId="165" fontId="67" fillId="37" borderId="24" xfId="0" applyNumberFormat="1" applyFont="1" applyFill="1" applyBorder="1" applyAlignment="1">
      <alignment horizontal="center" vertical="center" wrapText="1"/>
    </xf>
    <xf numFmtId="0" fontId="66" fillId="0" borderId="1" xfId="0" applyFont="1" applyBorder="1" applyAlignment="1">
      <alignment wrapText="1"/>
    </xf>
    <xf numFmtId="9" fontId="67" fillId="13" borderId="29" xfId="0" applyNumberFormat="1" applyFont="1" applyFill="1" applyBorder="1" applyAlignment="1">
      <alignment horizontal="center" vertical="center" wrapText="1"/>
    </xf>
    <xf numFmtId="0" fontId="67" fillId="0" borderId="30" xfId="0" applyFont="1" applyBorder="1" applyAlignment="1">
      <alignment wrapText="1"/>
    </xf>
    <xf numFmtId="0" fontId="66" fillId="0" borderId="133" xfId="0" applyFont="1" applyBorder="1" applyAlignment="1">
      <alignment wrapText="1"/>
    </xf>
    <xf numFmtId="0" fontId="66" fillId="0" borderId="24" xfId="0" applyFont="1" applyBorder="1" applyAlignment="1">
      <alignment wrapText="1"/>
    </xf>
    <xf numFmtId="165" fontId="67" fillId="29" borderId="134" xfId="0" applyNumberFormat="1" applyFont="1" applyFill="1" applyBorder="1" applyAlignment="1">
      <alignment horizontal="center" vertical="center" wrapText="1"/>
    </xf>
    <xf numFmtId="165" fontId="67" fillId="29" borderId="30" xfId="0" applyNumberFormat="1" applyFont="1" applyFill="1" applyBorder="1" applyAlignment="1">
      <alignment horizontal="center" vertical="center" wrapText="1"/>
    </xf>
    <xf numFmtId="0" fontId="66" fillId="0" borderId="30" xfId="0" applyFont="1" applyBorder="1" applyAlignment="1">
      <alignment horizontal="center" vertical="center" wrapText="1"/>
    </xf>
    <xf numFmtId="0" fontId="66" fillId="0" borderId="30" xfId="0" applyFont="1" applyBorder="1" applyAlignment="1">
      <alignment vertical="center" wrapText="1"/>
    </xf>
    <xf numFmtId="165" fontId="67" fillId="4" borderId="133" xfId="0" applyNumberFormat="1" applyFont="1" applyFill="1" applyBorder="1" applyAlignment="1">
      <alignment horizontal="center" vertical="center" wrapText="1"/>
    </xf>
    <xf numFmtId="165" fontId="67" fillId="4" borderId="24" xfId="0" applyNumberFormat="1" applyFont="1" applyFill="1" applyBorder="1" applyAlignment="1">
      <alignment horizontal="center" vertical="center" wrapText="1"/>
    </xf>
    <xf numFmtId="165" fontId="67" fillId="29" borderId="24" xfId="0" applyNumberFormat="1" applyFont="1" applyFill="1" applyBorder="1" applyAlignment="1">
      <alignment horizontal="center" vertical="center" wrapText="1"/>
    </xf>
    <xf numFmtId="165" fontId="67" fillId="30" borderId="24" xfId="0" applyNumberFormat="1" applyFont="1" applyFill="1" applyBorder="1" applyAlignment="1">
      <alignment horizontal="center" vertical="center" wrapText="1"/>
    </xf>
    <xf numFmtId="0" fontId="66" fillId="0" borderId="3" xfId="0" applyFont="1" applyBorder="1" applyAlignment="1">
      <alignment wrapText="1"/>
    </xf>
    <xf numFmtId="9" fontId="43" fillId="19" borderId="24" xfId="0" applyNumberFormat="1" applyFont="1" applyFill="1" applyBorder="1" applyAlignment="1">
      <alignment horizontal="left" vertical="center" wrapText="1"/>
    </xf>
    <xf numFmtId="0" fontId="42" fillId="19" borderId="21" xfId="0" applyFont="1" applyFill="1" applyBorder="1" applyAlignment="1">
      <alignment vertical="center" wrapText="1"/>
    </xf>
    <xf numFmtId="0" fontId="43" fillId="44" borderId="146" xfId="0" applyFont="1" applyFill="1" applyBorder="1" applyAlignment="1">
      <alignment vertical="center" wrapText="1"/>
    </xf>
    <xf numFmtId="9" fontId="43" fillId="26" borderId="31" xfId="0" applyNumberFormat="1" applyFont="1" applyFill="1" applyBorder="1" applyAlignment="1">
      <alignment horizontal="left" vertical="center" wrapText="1"/>
    </xf>
    <xf numFmtId="9" fontId="43" fillId="26" borderId="48" xfId="0" applyNumberFormat="1" applyFont="1" applyFill="1" applyBorder="1" applyAlignment="1">
      <alignment horizontal="left" vertical="center" wrapText="1"/>
    </xf>
    <xf numFmtId="0" fontId="42" fillId="0" borderId="146" xfId="0" applyFont="1" applyBorder="1" applyAlignment="1">
      <alignment vertical="center" wrapText="1"/>
    </xf>
    <xf numFmtId="9" fontId="43" fillId="26" borderId="25" xfId="0" applyNumberFormat="1" applyFont="1" applyFill="1" applyBorder="1" applyAlignment="1">
      <alignment horizontal="left" vertical="center" wrapText="1"/>
    </xf>
    <xf numFmtId="0" fontId="43" fillId="44" borderId="25" xfId="0" applyFont="1" applyFill="1" applyBorder="1" applyAlignment="1">
      <alignment vertical="center" wrapText="1"/>
    </xf>
    <xf numFmtId="0" fontId="43" fillId="0" borderId="8" xfId="0" applyFont="1" applyBorder="1" applyAlignment="1">
      <alignment horizontal="left" vertical="center" wrapText="1"/>
    </xf>
    <xf numFmtId="9" fontId="43" fillId="26" borderId="34" xfId="0" applyNumberFormat="1" applyFont="1" applyFill="1" applyBorder="1" applyAlignment="1">
      <alignment horizontal="left" vertical="center" wrapText="1"/>
    </xf>
    <xf numFmtId="165" fontId="58" fillId="30" borderId="44" xfId="0" applyNumberFormat="1" applyFont="1" applyFill="1" applyBorder="1" applyAlignment="1">
      <alignment horizontal="center" vertical="center" wrapText="1"/>
    </xf>
    <xf numFmtId="0" fontId="58" fillId="44" borderId="1" xfId="0" applyFont="1" applyFill="1" applyBorder="1" applyAlignment="1">
      <alignment vertical="center" wrapText="1"/>
    </xf>
    <xf numFmtId="0" fontId="58" fillId="44" borderId="25" xfId="0" applyFont="1" applyFill="1" applyBorder="1" applyAlignment="1">
      <alignment wrapText="1"/>
    </xf>
    <xf numFmtId="165" fontId="6" fillId="0" borderId="14" xfId="0" applyNumberFormat="1" applyFont="1" applyBorder="1" applyAlignment="1">
      <alignment horizontal="center" vertical="center"/>
    </xf>
    <xf numFmtId="165" fontId="6" fillId="0" borderId="42" xfId="0" applyNumberFormat="1" applyFont="1" applyBorder="1" applyAlignment="1">
      <alignment horizontal="center" vertical="center"/>
    </xf>
    <xf numFmtId="165" fontId="21" fillId="38" borderId="24" xfId="0" applyNumberFormat="1" applyFont="1" applyFill="1" applyBorder="1" applyAlignment="1">
      <alignment horizontal="center" vertical="center" wrapText="1"/>
    </xf>
    <xf numFmtId="165" fontId="58" fillId="52" borderId="113" xfId="0" applyNumberFormat="1" applyFont="1" applyFill="1" applyBorder="1" applyAlignment="1">
      <alignment horizontal="left" vertical="center" wrapText="1"/>
    </xf>
    <xf numFmtId="165" fontId="24" fillId="20" borderId="95" xfId="0" applyNumberFormat="1" applyFont="1" applyFill="1" applyBorder="1" applyAlignment="1">
      <alignment horizontal="center" vertical="center"/>
    </xf>
    <xf numFmtId="165" fontId="24" fillId="20" borderId="96" xfId="0" applyNumberFormat="1" applyFont="1" applyFill="1" applyBorder="1" applyAlignment="1">
      <alignment horizontal="center" vertical="center"/>
    </xf>
    <xf numFmtId="10" fontId="72" fillId="9" borderId="48" xfId="0" applyNumberFormat="1" applyFont="1" applyFill="1" applyBorder="1" applyAlignment="1">
      <alignment horizontal="center" vertical="center" wrapText="1"/>
    </xf>
    <xf numFmtId="10" fontId="72" fillId="6" borderId="48" xfId="0" applyNumberFormat="1" applyFont="1" applyFill="1" applyBorder="1" applyAlignment="1">
      <alignment horizontal="center" vertical="center" wrapText="1"/>
    </xf>
    <xf numFmtId="165" fontId="73" fillId="19" borderId="108" xfId="1" applyNumberFormat="1" applyFont="1" applyFill="1" applyBorder="1" applyAlignment="1">
      <alignment horizontal="center" vertical="center" wrapText="1"/>
    </xf>
    <xf numFmtId="0" fontId="75" fillId="0" borderId="0" xfId="0" applyFont="1" applyAlignment="1"/>
    <xf numFmtId="0" fontId="74" fillId="18" borderId="29" xfId="0" applyFont="1" applyFill="1" applyBorder="1" applyAlignment="1">
      <alignment horizontal="center" vertical="center" wrapText="1"/>
    </xf>
    <xf numFmtId="0" fontId="74" fillId="6" borderId="14" xfId="0" applyFont="1" applyFill="1" applyBorder="1" applyAlignment="1">
      <alignment horizontal="center" vertical="center" wrapText="1"/>
    </xf>
    <xf numFmtId="165" fontId="6" fillId="0" borderId="24" xfId="0" applyNumberFormat="1" applyFont="1" applyBorder="1" applyAlignment="1">
      <alignment horizontal="center" vertical="center"/>
    </xf>
    <xf numFmtId="165" fontId="76" fillId="0" borderId="29" xfId="0" applyNumberFormat="1" applyFont="1" applyBorder="1" applyAlignment="1">
      <alignment horizontal="center" vertical="center"/>
    </xf>
    <xf numFmtId="0" fontId="74" fillId="18" borderId="147" xfId="0" applyFont="1" applyFill="1" applyBorder="1" applyAlignment="1">
      <alignment horizontal="center" vertical="center" wrapText="1"/>
    </xf>
    <xf numFmtId="0" fontId="74" fillId="6" borderId="148" xfId="0" applyFont="1" applyFill="1" applyBorder="1" applyAlignment="1">
      <alignment horizontal="center" vertical="center" wrapText="1"/>
    </xf>
    <xf numFmtId="0" fontId="74" fillId="18" borderId="148" xfId="0" applyFont="1" applyFill="1" applyBorder="1" applyAlignment="1">
      <alignment horizontal="center" vertical="center" wrapText="1"/>
    </xf>
    <xf numFmtId="0" fontId="69" fillId="18" borderId="148" xfId="0" applyFont="1" applyFill="1" applyBorder="1" applyAlignment="1">
      <alignment horizontal="center" vertical="center" wrapText="1"/>
    </xf>
    <xf numFmtId="0" fontId="74" fillId="18" borderId="150" xfId="0" applyFont="1" applyFill="1" applyBorder="1" applyAlignment="1">
      <alignment horizontal="center" vertical="center" wrapText="1"/>
    </xf>
    <xf numFmtId="0" fontId="69" fillId="18" borderId="150" xfId="0" applyFont="1" applyFill="1" applyBorder="1" applyAlignment="1">
      <alignment horizontal="center" vertical="center" wrapText="1"/>
    </xf>
    <xf numFmtId="0" fontId="69" fillId="18" borderId="151" xfId="0" applyFont="1" applyFill="1" applyBorder="1" applyAlignment="1">
      <alignment horizontal="center" vertical="center" wrapText="1"/>
    </xf>
    <xf numFmtId="0" fontId="74" fillId="42" borderId="148" xfId="0" applyFont="1" applyFill="1" applyBorder="1" applyAlignment="1">
      <alignment horizontal="center" vertical="center" wrapText="1"/>
    </xf>
    <xf numFmtId="0" fontId="67" fillId="53" borderId="148" xfId="0" applyFont="1" applyFill="1" applyBorder="1" applyAlignment="1">
      <alignment horizontal="center" vertical="center" wrapText="1"/>
    </xf>
    <xf numFmtId="0" fontId="67" fillId="42" borderId="149" xfId="0" applyFont="1" applyFill="1" applyBorder="1" applyAlignment="1">
      <alignment horizontal="center" vertical="center" wrapText="1"/>
    </xf>
    <xf numFmtId="0" fontId="74" fillId="53" borderId="152" xfId="0" applyFont="1" applyFill="1" applyBorder="1" applyAlignment="1">
      <alignment horizontal="center" vertical="center" wrapText="1"/>
    </xf>
    <xf numFmtId="0" fontId="4" fillId="0" borderId="153" xfId="0" applyFont="1" applyBorder="1" applyAlignment="1">
      <alignment wrapText="1"/>
    </xf>
    <xf numFmtId="0" fontId="4" fillId="4" borderId="155" xfId="0" applyFont="1" applyFill="1" applyBorder="1" applyAlignment="1">
      <alignment horizontal="left" vertical="center" wrapText="1"/>
    </xf>
    <xf numFmtId="165" fontId="6" fillId="0" borderId="154" xfId="0" applyNumberFormat="1" applyFont="1" applyBorder="1" applyAlignment="1">
      <alignment horizontal="center" vertical="center"/>
    </xf>
    <xf numFmtId="0" fontId="4" fillId="4" borderId="156" xfId="0" applyFont="1" applyFill="1" applyBorder="1" applyAlignment="1">
      <alignment horizontal="left" vertical="center" wrapText="1"/>
    </xf>
    <xf numFmtId="9" fontId="7" fillId="0" borderId="157" xfId="0" applyNumberFormat="1" applyFont="1" applyBorder="1" applyAlignment="1">
      <alignment horizontal="center"/>
    </xf>
    <xf numFmtId="165" fontId="6" fillId="0" borderId="157" xfId="0" applyNumberFormat="1" applyFont="1" applyBorder="1" applyAlignment="1">
      <alignment horizontal="center" vertical="center"/>
    </xf>
    <xf numFmtId="165" fontId="6" fillId="0" borderId="158" xfId="0" applyNumberFormat="1" applyFont="1" applyBorder="1" applyAlignment="1">
      <alignment horizontal="center" vertical="center"/>
    </xf>
    <xf numFmtId="165" fontId="6" fillId="0" borderId="159" xfId="0" applyNumberFormat="1" applyFont="1" applyBorder="1" applyAlignment="1">
      <alignment horizontal="center" vertical="center"/>
    </xf>
    <xf numFmtId="165" fontId="76" fillId="0" borderId="160" xfId="0" applyNumberFormat="1" applyFont="1" applyBorder="1" applyAlignment="1">
      <alignment horizontal="center" vertical="center"/>
    </xf>
    <xf numFmtId="165" fontId="6" fillId="0" borderId="161" xfId="0" applyNumberFormat="1" applyFont="1" applyBorder="1" applyAlignment="1">
      <alignment horizontal="center" vertical="center"/>
    </xf>
    <xf numFmtId="0" fontId="69" fillId="18" borderId="149" xfId="0" applyFont="1" applyFill="1" applyBorder="1" applyAlignment="1">
      <alignment horizontal="center" vertical="center" wrapText="1"/>
    </xf>
    <xf numFmtId="9" fontId="58" fillId="8" borderId="25" xfId="1" applyFont="1" applyFill="1" applyBorder="1" applyAlignment="1">
      <alignment horizontal="center" vertical="center" wrapText="1"/>
    </xf>
    <xf numFmtId="165" fontId="64" fillId="9" borderId="8" xfId="0" applyNumberFormat="1" applyFont="1" applyFill="1" applyBorder="1" applyAlignment="1">
      <alignment horizontal="center" vertical="center" wrapText="1"/>
    </xf>
    <xf numFmtId="165" fontId="64" fillId="6" borderId="26" xfId="0" applyNumberFormat="1" applyFont="1" applyFill="1" applyBorder="1" applyAlignment="1">
      <alignment horizontal="center" vertical="center" wrapText="1"/>
    </xf>
    <xf numFmtId="165" fontId="64" fillId="6" borderId="18" xfId="0" applyNumberFormat="1" applyFont="1" applyFill="1" applyBorder="1" applyAlignment="1">
      <alignment horizontal="center" vertical="center" wrapText="1"/>
    </xf>
    <xf numFmtId="165" fontId="64" fillId="9" borderId="76" xfId="0" applyNumberFormat="1" applyFont="1" applyFill="1" applyBorder="1" applyAlignment="1">
      <alignment horizontal="center" vertical="center" wrapText="1"/>
    </xf>
    <xf numFmtId="165" fontId="64" fillId="28" borderId="18" xfId="0" applyNumberFormat="1" applyFont="1" applyFill="1" applyBorder="1" applyAlignment="1">
      <alignment horizontal="center" vertical="center" wrapText="1"/>
    </xf>
    <xf numFmtId="10" fontId="58" fillId="4" borderId="42" xfId="0" applyNumberFormat="1" applyFont="1" applyFill="1" applyBorder="1" applyAlignment="1">
      <alignment horizontal="center" vertical="center" wrapText="1"/>
    </xf>
    <xf numFmtId="43" fontId="57" fillId="0" borderId="42" xfId="3" applyFont="1" applyBorder="1" applyAlignment="1">
      <alignment horizontal="center" vertical="center" wrapText="1"/>
    </xf>
    <xf numFmtId="165" fontId="64" fillId="21" borderId="14" xfId="0" applyNumberFormat="1" applyFont="1" applyFill="1" applyBorder="1" applyAlignment="1">
      <alignment horizontal="center" vertical="center"/>
    </xf>
    <xf numFmtId="165" fontId="64" fillId="21" borderId="42" xfId="0" applyNumberFormat="1" applyFont="1" applyFill="1" applyBorder="1" applyAlignment="1">
      <alignment horizontal="center" vertical="center"/>
    </xf>
    <xf numFmtId="165" fontId="64" fillId="21" borderId="24" xfId="0" applyNumberFormat="1" applyFont="1" applyFill="1" applyBorder="1" applyAlignment="1">
      <alignment horizontal="center" vertical="center"/>
    </xf>
    <xf numFmtId="165" fontId="64" fillId="41" borderId="14" xfId="0" applyNumberFormat="1" applyFont="1" applyFill="1" applyBorder="1" applyAlignment="1">
      <alignment horizontal="center" vertical="center"/>
    </xf>
    <xf numFmtId="165" fontId="64" fillId="41" borderId="42" xfId="0" applyNumberFormat="1" applyFont="1" applyFill="1" applyBorder="1" applyAlignment="1">
      <alignment horizontal="center" vertical="center"/>
    </xf>
    <xf numFmtId="10" fontId="64" fillId="28" borderId="72" xfId="0" applyNumberFormat="1" applyFont="1" applyFill="1" applyBorder="1" applyAlignment="1">
      <alignment horizontal="center" vertical="center" wrapText="1"/>
    </xf>
    <xf numFmtId="165" fontId="64" fillId="21" borderId="29" xfId="0" applyNumberFormat="1" applyFont="1" applyFill="1" applyBorder="1" applyAlignment="1">
      <alignment horizontal="center" vertical="center"/>
    </xf>
    <xf numFmtId="164" fontId="17" fillId="43" borderId="98" xfId="0" applyNumberFormat="1" applyFont="1" applyFill="1" applyBorder="1" applyAlignment="1">
      <alignment horizontal="center" vertical="center"/>
    </xf>
    <xf numFmtId="10" fontId="64" fillId="6" borderId="24" xfId="0" applyNumberFormat="1" applyFont="1" applyFill="1" applyBorder="1" applyAlignment="1">
      <alignment horizontal="center" vertical="center" wrapText="1"/>
    </xf>
    <xf numFmtId="165" fontId="17" fillId="43" borderId="98" xfId="0" applyNumberFormat="1" applyFont="1" applyFill="1" applyBorder="1" applyAlignment="1">
      <alignment horizontal="center" vertical="center"/>
    </xf>
    <xf numFmtId="165" fontId="67" fillId="8" borderId="24" xfId="1" applyNumberFormat="1" applyFont="1" applyFill="1" applyBorder="1" applyAlignment="1">
      <alignment horizontal="center" vertical="center" wrapText="1"/>
    </xf>
    <xf numFmtId="0" fontId="77" fillId="0" borderId="123" xfId="0" applyFont="1" applyBorder="1" applyAlignment="1">
      <alignment wrapText="1"/>
    </xf>
    <xf numFmtId="0" fontId="77" fillId="0" borderId="89" xfId="0" applyFont="1" applyBorder="1" applyAlignment="1">
      <alignment vertical="center" wrapText="1"/>
    </xf>
    <xf numFmtId="9" fontId="78" fillId="0" borderId="111" xfId="0" applyNumberFormat="1" applyFont="1" applyBorder="1" applyAlignment="1">
      <alignment horizontal="center" vertical="center" wrapText="1"/>
    </xf>
    <xf numFmtId="0" fontId="79" fillId="0" borderId="48" xfId="0" applyFont="1" applyBorder="1" applyAlignment="1"/>
    <xf numFmtId="0" fontId="80" fillId="0" borderId="118" xfId="0" applyFont="1" applyBorder="1" applyAlignment="1"/>
    <xf numFmtId="0" fontId="80" fillId="0" borderId="48" xfId="0" applyFont="1" applyBorder="1" applyAlignment="1"/>
    <xf numFmtId="10" fontId="78" fillId="31" borderId="26" xfId="0" applyNumberFormat="1" applyFont="1" applyFill="1" applyBorder="1" applyAlignment="1">
      <alignment horizontal="center" vertical="center" wrapText="1"/>
    </xf>
    <xf numFmtId="10" fontId="78" fillId="6" borderId="18" xfId="0" applyNumberFormat="1" applyFont="1" applyFill="1" applyBorder="1" applyAlignment="1">
      <alignment horizontal="center" vertical="center" wrapText="1"/>
    </xf>
    <xf numFmtId="10" fontId="78" fillId="6" borderId="25" xfId="0" applyNumberFormat="1" applyFont="1" applyFill="1" applyBorder="1" applyAlignment="1">
      <alignment horizontal="center" vertical="center" wrapText="1"/>
    </xf>
    <xf numFmtId="0" fontId="77" fillId="0" borderId="70" xfId="0" applyFont="1" applyBorder="1" applyAlignment="1">
      <alignment horizontal="center" wrapText="1"/>
    </xf>
    <xf numFmtId="0" fontId="77" fillId="0" borderId="25" xfId="0" applyFont="1" applyBorder="1" applyAlignment="1">
      <alignment wrapText="1"/>
    </xf>
    <xf numFmtId="0" fontId="77" fillId="0" borderId="70" xfId="0" applyFont="1" applyBorder="1" applyAlignment="1">
      <alignment wrapText="1"/>
    </xf>
    <xf numFmtId="165" fontId="78" fillId="36" borderId="48" xfId="0" applyNumberFormat="1" applyFont="1" applyFill="1" applyBorder="1" applyAlignment="1">
      <alignment vertical="center" wrapText="1"/>
    </xf>
    <xf numFmtId="0" fontId="77" fillId="0" borderId="136" xfId="0" applyFont="1" applyBorder="1" applyAlignment="1">
      <alignment wrapText="1"/>
    </xf>
    <xf numFmtId="0" fontId="77" fillId="0" borderId="20" xfId="0" applyFont="1" applyBorder="1" applyAlignment="1">
      <alignment wrapText="1"/>
    </xf>
    <xf numFmtId="0" fontId="80" fillId="0" borderId="0" xfId="0" applyFont="1" applyAlignment="1"/>
    <xf numFmtId="0" fontId="42" fillId="27" borderId="9" xfId="0" applyFont="1" applyFill="1" applyBorder="1" applyAlignment="1">
      <alignment vertical="center" wrapText="1"/>
    </xf>
    <xf numFmtId="164" fontId="18" fillId="0" borderId="0" xfId="1" applyNumberFormat="1" applyFont="1" applyAlignment="1"/>
    <xf numFmtId="165" fontId="83" fillId="54" borderId="24" xfId="0" applyNumberFormat="1" applyFont="1" applyFill="1" applyBorder="1" applyAlignment="1">
      <alignment horizontal="center" vertical="center"/>
    </xf>
    <xf numFmtId="43" fontId="42" fillId="19" borderId="24" xfId="3" applyFont="1" applyFill="1" applyBorder="1" applyAlignment="1">
      <alignment horizontal="center" vertical="center" wrapText="1"/>
    </xf>
    <xf numFmtId="0" fontId="42" fillId="0" borderId="21" xfId="0" applyFont="1" applyBorder="1" applyAlignment="1">
      <alignment vertical="center" wrapText="1"/>
    </xf>
    <xf numFmtId="166" fontId="57" fillId="22" borderId="14" xfId="0" applyNumberFormat="1" applyFont="1" applyFill="1" applyBorder="1" applyAlignment="1">
      <alignment horizontal="center" vertical="center" wrapText="1"/>
    </xf>
    <xf numFmtId="9" fontId="58" fillId="0" borderId="26" xfId="0" applyNumberFormat="1" applyFont="1" applyBorder="1" applyAlignment="1">
      <alignment horizontal="center" vertical="center" wrapText="1"/>
    </xf>
    <xf numFmtId="165" fontId="15" fillId="0" borderId="0" xfId="0" applyNumberFormat="1" applyFont="1" applyAlignment="1"/>
    <xf numFmtId="165" fontId="57" fillId="0" borderId="47" xfId="0" applyNumberFormat="1" applyFont="1" applyBorder="1" applyAlignment="1">
      <alignment horizontal="center" vertical="center" wrapText="1"/>
    </xf>
    <xf numFmtId="0" fontId="42" fillId="40" borderId="9" xfId="0" applyFont="1" applyFill="1" applyBorder="1" applyAlignment="1">
      <alignment vertical="center" wrapText="1"/>
    </xf>
    <xf numFmtId="165" fontId="57" fillId="20" borderId="8" xfId="0" applyNumberFormat="1" applyFont="1" applyFill="1" applyBorder="1" applyAlignment="1">
      <alignment horizontal="center" vertical="center" wrapText="1"/>
    </xf>
    <xf numFmtId="0" fontId="57" fillId="19" borderId="6" xfId="0" applyFont="1" applyFill="1" applyBorder="1" applyAlignment="1">
      <alignment horizontal="center" vertical="center" wrapText="1"/>
    </xf>
    <xf numFmtId="0" fontId="35" fillId="20" borderId="44" xfId="0" applyFont="1" applyFill="1" applyBorder="1" applyAlignment="1">
      <alignment wrapText="1"/>
    </xf>
    <xf numFmtId="9" fontId="43" fillId="20" borderId="114" xfId="0" applyNumberFormat="1" applyFont="1" applyFill="1" applyBorder="1" applyAlignment="1">
      <alignment horizontal="center" vertical="center" wrapText="1"/>
    </xf>
    <xf numFmtId="0" fontId="57" fillId="27" borderId="55" xfId="0" applyFont="1" applyFill="1" applyBorder="1" applyAlignment="1">
      <alignment vertical="center" wrapText="1"/>
    </xf>
    <xf numFmtId="0" fontId="58" fillId="25" borderId="1" xfId="0" applyFont="1" applyFill="1" applyBorder="1" applyAlignment="1">
      <alignment vertical="center" wrapText="1"/>
    </xf>
    <xf numFmtId="3" fontId="59" fillId="22" borderId="24" xfId="0" applyNumberFormat="1" applyFont="1" applyFill="1" applyBorder="1" applyAlignment="1">
      <alignment horizontal="center" vertical="center" wrapText="1"/>
    </xf>
    <xf numFmtId="0" fontId="58" fillId="25" borderId="25" xfId="0" applyFont="1" applyFill="1" applyBorder="1" applyAlignment="1">
      <alignment vertical="center" wrapText="1"/>
    </xf>
    <xf numFmtId="0" fontId="42" fillId="27" borderId="55" xfId="0" applyFont="1" applyFill="1" applyBorder="1" applyAlignment="1">
      <alignment vertical="center" wrapText="1"/>
    </xf>
    <xf numFmtId="0" fontId="42" fillId="27" borderId="54" xfId="0" applyFont="1" applyFill="1" applyBorder="1" applyAlignment="1">
      <alignment vertical="center" wrapText="1"/>
    </xf>
    <xf numFmtId="0" fontId="42" fillId="27" borderId="16" xfId="0" applyFont="1" applyFill="1" applyBorder="1" applyAlignment="1">
      <alignment vertical="center" wrapText="1"/>
    </xf>
    <xf numFmtId="0" fontId="42" fillId="47" borderId="24" xfId="0" applyFont="1" applyFill="1" applyBorder="1" applyAlignment="1">
      <alignment horizontal="center" vertical="center" wrapText="1"/>
    </xf>
    <xf numFmtId="10" fontId="67" fillId="29" borderId="24" xfId="0" applyNumberFormat="1" applyFont="1" applyFill="1" applyBorder="1" applyAlignment="1">
      <alignment horizontal="center" vertical="center" wrapText="1"/>
    </xf>
    <xf numFmtId="10" fontId="57" fillId="0" borderId="14" xfId="1" applyNumberFormat="1" applyFont="1" applyBorder="1" applyAlignment="1">
      <alignment horizontal="center" vertical="center" wrapText="1"/>
    </xf>
    <xf numFmtId="9" fontId="58" fillId="26" borderId="44" xfId="0" applyNumberFormat="1" applyFont="1" applyFill="1" applyBorder="1" applyAlignment="1">
      <alignment horizontal="center" vertical="center" wrapText="1"/>
    </xf>
    <xf numFmtId="44" fontId="42" fillId="0" borderId="24" xfId="4" applyFont="1" applyBorder="1" applyAlignment="1">
      <alignment vertical="center" wrapText="1"/>
    </xf>
    <xf numFmtId="165" fontId="57" fillId="22" borderId="14" xfId="1" applyNumberFormat="1" applyFont="1" applyFill="1" applyBorder="1" applyAlignment="1">
      <alignment horizontal="center" vertical="center" wrapText="1"/>
    </xf>
    <xf numFmtId="2" fontId="44" fillId="0" borderId="24" xfId="0" applyNumberFormat="1" applyFont="1" applyBorder="1" applyAlignment="1">
      <alignment horizontal="center" vertical="center"/>
    </xf>
    <xf numFmtId="2" fontId="44" fillId="22" borderId="24" xfId="0" applyNumberFormat="1" applyFont="1" applyFill="1" applyBorder="1" applyAlignment="1">
      <alignment horizontal="center" vertical="center"/>
    </xf>
    <xf numFmtId="165" fontId="42" fillId="20" borderId="24" xfId="0" applyNumberFormat="1" applyFont="1" applyFill="1" applyBorder="1" applyAlignment="1">
      <alignment horizontal="center" vertical="center" wrapText="1"/>
    </xf>
    <xf numFmtId="0" fontId="57" fillId="22" borderId="130" xfId="0" applyFont="1" applyFill="1" applyBorder="1" applyAlignment="1">
      <alignment horizontal="center" vertical="center" wrapText="1"/>
    </xf>
    <xf numFmtId="0" fontId="59" fillId="22" borderId="131" xfId="0" applyFont="1" applyFill="1" applyBorder="1" applyAlignment="1">
      <alignment horizontal="center" vertical="center" wrapText="1"/>
    </xf>
    <xf numFmtId="0" fontId="57" fillId="19" borderId="13" xfId="0" applyFont="1" applyFill="1" applyBorder="1" applyAlignment="1">
      <alignment horizontal="center" vertical="center" wrapText="1"/>
    </xf>
    <xf numFmtId="0" fontId="59" fillId="22" borderId="0" xfId="0" applyFont="1" applyFill="1" applyBorder="1" applyAlignment="1">
      <alignment horizontal="center" vertical="center" wrapText="1"/>
    </xf>
    <xf numFmtId="0" fontId="59" fillId="22" borderId="70" xfId="0" applyFont="1" applyFill="1" applyBorder="1" applyAlignment="1">
      <alignment horizontal="center" vertical="center" wrapText="1"/>
    </xf>
    <xf numFmtId="166" fontId="57" fillId="22" borderId="8" xfId="0" applyNumberFormat="1" applyFont="1" applyFill="1" applyBorder="1" applyAlignment="1">
      <alignment horizontal="center" vertical="center" wrapText="1"/>
    </xf>
    <xf numFmtId="0" fontId="57" fillId="22" borderId="128" xfId="0" applyFont="1" applyFill="1" applyBorder="1" applyAlignment="1">
      <alignment horizontal="center" vertical="center" wrapText="1"/>
    </xf>
    <xf numFmtId="0" fontId="57" fillId="25" borderId="24" xfId="0" applyFont="1" applyFill="1" applyBorder="1" applyAlignment="1">
      <alignment horizontal="center" vertical="center" wrapText="1"/>
    </xf>
    <xf numFmtId="0" fontId="57" fillId="0" borderId="44" xfId="0" applyFont="1" applyBorder="1" applyAlignment="1">
      <alignment horizontal="center" vertical="center" wrapText="1"/>
    </xf>
    <xf numFmtId="165" fontId="58" fillId="29" borderId="87" xfId="0" applyNumberFormat="1" applyFont="1" applyFill="1" applyBorder="1" applyAlignment="1">
      <alignment horizontal="center" vertical="center" wrapText="1"/>
    </xf>
    <xf numFmtId="165" fontId="64" fillId="9" borderId="25" xfId="0" applyNumberFormat="1" applyFont="1" applyFill="1" applyBorder="1" applyAlignment="1">
      <alignment horizontal="center" vertical="center" wrapText="1"/>
    </xf>
    <xf numFmtId="165" fontId="64" fillId="6" borderId="40" xfId="0" applyNumberFormat="1" applyFont="1" applyFill="1" applyBorder="1" applyAlignment="1">
      <alignment horizontal="center" vertical="center" wrapText="1"/>
    </xf>
    <xf numFmtId="165" fontId="64" fillId="9" borderId="40" xfId="0" applyNumberFormat="1" applyFont="1" applyFill="1" applyBorder="1" applyAlignment="1">
      <alignment horizontal="center" vertical="center" wrapText="1"/>
    </xf>
    <xf numFmtId="170" fontId="31" fillId="0" borderId="0" xfId="1" applyNumberFormat="1" applyFont="1" applyAlignment="1"/>
    <xf numFmtId="170" fontId="85" fillId="0" borderId="0" xfId="0" applyNumberFormat="1" applyFont="1" applyAlignment="1"/>
    <xf numFmtId="0" fontId="57" fillId="20" borderId="41" xfId="0" applyFont="1" applyFill="1" applyBorder="1" applyAlignment="1">
      <alignment horizontal="center" vertical="center" wrapText="1"/>
    </xf>
    <xf numFmtId="10" fontId="64" fillId="9" borderId="76" xfId="0" applyNumberFormat="1" applyFont="1" applyFill="1" applyBorder="1" applyAlignment="1">
      <alignment horizontal="center" vertical="center" wrapText="1"/>
    </xf>
    <xf numFmtId="10" fontId="64" fillId="9" borderId="40" xfId="0" applyNumberFormat="1" applyFont="1" applyFill="1" applyBorder="1" applyAlignment="1">
      <alignment horizontal="center" vertical="center" wrapText="1"/>
    </xf>
    <xf numFmtId="10" fontId="64" fillId="9" borderId="24" xfId="0" applyNumberFormat="1" applyFont="1" applyFill="1" applyBorder="1" applyAlignment="1">
      <alignment horizontal="center" vertical="center" wrapText="1"/>
    </xf>
    <xf numFmtId="0" fontId="57" fillId="27" borderId="79" xfId="0" applyFont="1" applyFill="1" applyBorder="1" applyAlignment="1">
      <alignment vertical="center" wrapText="1"/>
    </xf>
    <xf numFmtId="0" fontId="57" fillId="27" borderId="19" xfId="0" applyFont="1" applyFill="1" applyBorder="1" applyAlignment="1">
      <alignment vertical="center" wrapText="1"/>
    </xf>
    <xf numFmtId="10" fontId="5" fillId="0" borderId="14" xfId="0" applyNumberFormat="1" applyFont="1" applyBorder="1" applyAlignment="1">
      <alignment horizontal="center" vertical="center"/>
    </xf>
    <xf numFmtId="10" fontId="30" fillId="23" borderId="14" xfId="0" applyNumberFormat="1" applyFont="1" applyFill="1" applyBorder="1" applyAlignment="1">
      <alignment horizontal="center" vertical="center"/>
    </xf>
    <xf numFmtId="10" fontId="5" fillId="0" borderId="157" xfId="0" applyNumberFormat="1" applyFont="1" applyBorder="1" applyAlignment="1">
      <alignment horizontal="center" vertical="center"/>
    </xf>
    <xf numFmtId="10" fontId="30" fillId="23" borderId="157" xfId="0" applyNumberFormat="1" applyFont="1" applyFill="1" applyBorder="1" applyAlignment="1">
      <alignment horizontal="center" vertical="center"/>
    </xf>
    <xf numFmtId="9" fontId="43" fillId="26" borderId="115" xfId="0" applyNumberFormat="1" applyFont="1" applyFill="1" applyBorder="1" applyAlignment="1">
      <alignment horizontal="center" vertical="center" wrapText="1"/>
    </xf>
    <xf numFmtId="165" fontId="57" fillId="0" borderId="18" xfId="0" applyNumberFormat="1" applyFont="1" applyBorder="1" applyAlignment="1">
      <alignment horizontal="center" vertical="center" wrapText="1"/>
    </xf>
    <xf numFmtId="169" fontId="57" fillId="22" borderId="8" xfId="0" applyNumberFormat="1" applyFont="1" applyFill="1" applyBorder="1" applyAlignment="1">
      <alignment horizontal="center" vertical="center" wrapText="1"/>
    </xf>
    <xf numFmtId="169" fontId="57" fillId="0" borderId="14" xfId="0" applyNumberFormat="1" applyFont="1" applyBorder="1" applyAlignment="1">
      <alignment horizontal="center" vertical="center" wrapText="1"/>
    </xf>
    <xf numFmtId="171" fontId="57" fillId="22" borderId="14" xfId="3" applyNumberFormat="1" applyFont="1" applyFill="1" applyBorder="1" applyAlignment="1">
      <alignment horizontal="center" vertical="center" wrapText="1"/>
    </xf>
    <xf numFmtId="0" fontId="57" fillId="0" borderId="162" xfId="0" applyFont="1" applyBorder="1" applyAlignment="1">
      <alignment wrapText="1"/>
    </xf>
    <xf numFmtId="9" fontId="58" fillId="26" borderId="163" xfId="0" applyNumberFormat="1" applyFont="1" applyFill="1" applyBorder="1" applyAlignment="1">
      <alignment horizontal="center" vertical="center" wrapText="1"/>
    </xf>
    <xf numFmtId="9" fontId="58" fillId="26" borderId="164" xfId="0" applyNumberFormat="1" applyFont="1" applyFill="1" applyBorder="1" applyAlignment="1">
      <alignment horizontal="center" vertical="center" wrapText="1"/>
    </xf>
    <xf numFmtId="0" fontId="57" fillId="19" borderId="14" xfId="0" applyFont="1" applyFill="1" applyBorder="1" applyAlignment="1">
      <alignment horizontal="center" vertical="center" wrapText="1"/>
    </xf>
    <xf numFmtId="9" fontId="58" fillId="26" borderId="165" xfId="0" applyNumberFormat="1" applyFont="1" applyFill="1" applyBorder="1" applyAlignment="1">
      <alignment horizontal="center" vertical="center" wrapText="1"/>
    </xf>
    <xf numFmtId="9" fontId="58" fillId="26" borderId="166" xfId="0" applyNumberFormat="1" applyFont="1" applyFill="1" applyBorder="1" applyAlignment="1">
      <alignment horizontal="center" vertical="center" wrapText="1"/>
    </xf>
    <xf numFmtId="0" fontId="58" fillId="19" borderId="167" xfId="0" applyFont="1" applyFill="1" applyBorder="1" applyAlignment="1">
      <alignment vertical="center" wrapText="1"/>
    </xf>
    <xf numFmtId="9" fontId="58" fillId="26" borderId="168" xfId="0" applyNumberFormat="1" applyFont="1" applyFill="1" applyBorder="1" applyAlignment="1">
      <alignment horizontal="center" vertical="center" wrapText="1"/>
    </xf>
    <xf numFmtId="9" fontId="58" fillId="26" borderId="169" xfId="0" applyNumberFormat="1" applyFont="1" applyFill="1" applyBorder="1" applyAlignment="1">
      <alignment horizontal="center" vertical="center" wrapText="1"/>
    </xf>
    <xf numFmtId="9" fontId="58" fillId="26" borderId="91" xfId="0" applyNumberFormat="1" applyFont="1" applyFill="1" applyBorder="1" applyAlignment="1">
      <alignment horizontal="center" vertical="center" wrapText="1"/>
    </xf>
    <xf numFmtId="9" fontId="58" fillId="26" borderId="116" xfId="0" applyNumberFormat="1" applyFont="1" applyFill="1" applyBorder="1" applyAlignment="1">
      <alignment horizontal="center" vertical="center" wrapText="1"/>
    </xf>
    <xf numFmtId="0" fontId="66" fillId="0" borderId="4" xfId="0" applyFont="1" applyBorder="1" applyAlignment="1">
      <alignment wrapText="1"/>
    </xf>
    <xf numFmtId="0" fontId="66" fillId="0" borderId="16" xfId="0" applyFont="1" applyBorder="1" applyAlignment="1">
      <alignment wrapText="1"/>
    </xf>
    <xf numFmtId="9" fontId="67" fillId="8" borderId="116" xfId="0" applyNumberFormat="1" applyFont="1" applyFill="1" applyBorder="1" applyAlignment="1">
      <alignment horizontal="center" vertical="center" wrapText="1"/>
    </xf>
    <xf numFmtId="165" fontId="67" fillId="8" borderId="34" xfId="0" applyNumberFormat="1" applyFont="1" applyFill="1" applyBorder="1" applyAlignment="1">
      <alignment horizontal="center" vertical="center" wrapText="1"/>
    </xf>
    <xf numFmtId="9" fontId="66" fillId="0" borderId="24" xfId="0" applyNumberFormat="1" applyFont="1" applyBorder="1" applyAlignment="1">
      <alignment vertical="center" wrapText="1"/>
    </xf>
    <xf numFmtId="165" fontId="67" fillId="33" borderId="24" xfId="0" applyNumberFormat="1" applyFont="1" applyFill="1" applyBorder="1" applyAlignment="1">
      <alignment horizontal="center" vertical="center" wrapText="1"/>
    </xf>
    <xf numFmtId="0" fontId="66" fillId="0" borderId="15" xfId="0" applyFont="1" applyBorder="1" applyAlignment="1">
      <alignment wrapText="1"/>
    </xf>
    <xf numFmtId="0" fontId="58" fillId="26" borderId="25" xfId="0" applyFont="1" applyFill="1" applyBorder="1" applyAlignment="1">
      <alignment vertical="center" wrapText="1"/>
    </xf>
    <xf numFmtId="166" fontId="57" fillId="22" borderId="24" xfId="0" applyNumberFormat="1" applyFont="1" applyFill="1" applyBorder="1" applyAlignment="1">
      <alignment horizontal="center" vertical="center" wrapText="1"/>
    </xf>
    <xf numFmtId="0" fontId="57" fillId="27" borderId="16" xfId="0" applyFont="1" applyFill="1" applyBorder="1" applyAlignment="1">
      <alignment vertical="center" wrapText="1"/>
    </xf>
    <xf numFmtId="169" fontId="57" fillId="0" borderId="24" xfId="0" applyNumberFormat="1" applyFont="1" applyBorder="1" applyAlignment="1">
      <alignment horizontal="center" vertical="center" wrapText="1"/>
    </xf>
    <xf numFmtId="0" fontId="34" fillId="49" borderId="24" xfId="0" applyFont="1" applyFill="1" applyBorder="1" applyAlignment="1">
      <alignment horizontal="center" vertical="center" wrapText="1"/>
    </xf>
    <xf numFmtId="10" fontId="65" fillId="24" borderId="108" xfId="1" applyNumberFormat="1" applyFont="1" applyFill="1" applyBorder="1" applyAlignment="1">
      <alignment horizontal="center" vertical="center" wrapText="1"/>
    </xf>
    <xf numFmtId="166" fontId="42" fillId="20" borderId="24" xfId="0" applyNumberFormat="1" applyFont="1" applyFill="1" applyBorder="1" applyAlignment="1">
      <alignment horizontal="center" vertical="center" wrapText="1"/>
    </xf>
    <xf numFmtId="169" fontId="42" fillId="22" borderId="24" xfId="0" applyNumberFormat="1" applyFont="1" applyFill="1" applyBorder="1" applyAlignment="1">
      <alignment horizontal="center" vertical="center" wrapText="1"/>
    </xf>
    <xf numFmtId="9" fontId="58" fillId="55" borderId="25" xfId="0" applyNumberFormat="1" applyFont="1" applyFill="1" applyBorder="1" applyAlignment="1">
      <alignment horizontal="left" vertical="center" wrapText="1"/>
    </xf>
    <xf numFmtId="0" fontId="58" fillId="26" borderId="165" xfId="0" applyFont="1" applyFill="1" applyBorder="1" applyAlignment="1">
      <alignment vertical="center" wrapText="1"/>
    </xf>
    <xf numFmtId="0" fontId="58" fillId="26" borderId="163" xfId="0" applyFont="1" applyFill="1" applyBorder="1" applyAlignment="1">
      <alignment vertical="center" wrapText="1"/>
    </xf>
    <xf numFmtId="0" fontId="58" fillId="26" borderId="166" xfId="0" applyFont="1" applyFill="1" applyBorder="1" applyAlignment="1">
      <alignment vertical="center" wrapText="1"/>
    </xf>
    <xf numFmtId="0" fontId="58" fillId="26" borderId="167" xfId="0" applyFont="1" applyFill="1" applyBorder="1" applyAlignment="1">
      <alignment vertical="center" wrapText="1"/>
    </xf>
    <xf numFmtId="0" fontId="58" fillId="26" borderId="164" xfId="0" applyFont="1" applyFill="1" applyBorder="1" applyAlignment="1">
      <alignment vertical="center" wrapText="1"/>
    </xf>
    <xf numFmtId="0" fontId="43" fillId="19" borderId="41" xfId="0" applyFont="1" applyFill="1" applyBorder="1" applyAlignment="1">
      <alignment vertical="center" wrapText="1"/>
    </xf>
    <xf numFmtId="0" fontId="34" fillId="26" borderId="75" xfId="0" applyFont="1" applyFill="1" applyBorder="1" applyAlignment="1">
      <alignment vertical="center" wrapText="1"/>
    </xf>
    <xf numFmtId="0" fontId="34" fillId="26" borderId="35" xfId="0" applyFont="1" applyFill="1" applyBorder="1" applyAlignment="1">
      <alignment vertical="center" wrapText="1"/>
    </xf>
    <xf numFmtId="0" fontId="34" fillId="26" borderId="28" xfId="0" applyFont="1" applyFill="1" applyBorder="1" applyAlignment="1">
      <alignment vertical="center" wrapText="1"/>
    </xf>
    <xf numFmtId="9" fontId="57" fillId="20" borderId="8" xfId="0" applyNumberFormat="1" applyFont="1" applyFill="1" applyBorder="1" applyAlignment="1">
      <alignment horizontal="center" vertical="center" wrapText="1"/>
    </xf>
    <xf numFmtId="9" fontId="57" fillId="20" borderId="6" xfId="0" applyNumberFormat="1" applyFont="1" applyFill="1" applyBorder="1" applyAlignment="1">
      <alignment horizontal="center" vertical="center" wrapText="1"/>
    </xf>
    <xf numFmtId="9" fontId="57" fillId="20" borderId="13" xfId="0" applyNumberFormat="1" applyFont="1" applyFill="1" applyBorder="1" applyAlignment="1">
      <alignment horizontal="center" vertical="center" wrapText="1"/>
    </xf>
    <xf numFmtId="9" fontId="57" fillId="20" borderId="113" xfId="0" applyNumberFormat="1" applyFont="1" applyFill="1" applyBorder="1" applyAlignment="1">
      <alignment horizontal="center" vertical="center" wrapText="1"/>
    </xf>
    <xf numFmtId="9" fontId="57" fillId="20" borderId="114" xfId="0" applyNumberFormat="1" applyFont="1" applyFill="1" applyBorder="1" applyAlignment="1">
      <alignment horizontal="center" vertical="center" wrapText="1"/>
    </xf>
    <xf numFmtId="0" fontId="59" fillId="22" borderId="25" xfId="0" applyFont="1" applyFill="1" applyBorder="1" applyAlignment="1">
      <alignment horizontal="center" vertical="center" wrapText="1"/>
    </xf>
    <xf numFmtId="0" fontId="59" fillId="22" borderId="75" xfId="0" applyFont="1" applyFill="1" applyBorder="1" applyAlignment="1">
      <alignment horizontal="center" vertical="center" wrapText="1"/>
    </xf>
    <xf numFmtId="0" fontId="59" fillId="22" borderId="41" xfId="0" applyFont="1" applyFill="1" applyBorder="1" applyAlignment="1">
      <alignment horizontal="center" vertical="center" wrapText="1"/>
    </xf>
    <xf numFmtId="0" fontId="57" fillId="22" borderId="26" xfId="0" applyFont="1" applyFill="1" applyBorder="1" applyAlignment="1">
      <alignment horizontal="center" vertical="center" wrapText="1"/>
    </xf>
    <xf numFmtId="165" fontId="24" fillId="23" borderId="14" xfId="0" applyNumberFormat="1" applyFont="1" applyFill="1" applyBorder="1" applyAlignment="1">
      <alignment horizontal="center" vertical="center"/>
    </xf>
    <xf numFmtId="165" fontId="64" fillId="41" borderId="154" xfId="0" applyNumberFormat="1" applyFont="1" applyFill="1" applyBorder="1" applyAlignment="1">
      <alignment horizontal="center" vertical="center"/>
    </xf>
    <xf numFmtId="0" fontId="58" fillId="48" borderId="28" xfId="0" applyFont="1" applyFill="1" applyBorder="1" applyAlignment="1">
      <alignment horizontal="center" vertical="center" wrapText="1"/>
    </xf>
    <xf numFmtId="0" fontId="58" fillId="4" borderId="13" xfId="0" applyFont="1" applyFill="1" applyBorder="1" applyAlignment="1">
      <alignment horizontal="center" vertical="center" wrapText="1"/>
    </xf>
    <xf numFmtId="0" fontId="58" fillId="50" borderId="25" xfId="0" applyFont="1" applyFill="1" applyBorder="1" applyAlignment="1">
      <alignment horizontal="center" vertical="center" wrapText="1"/>
    </xf>
    <xf numFmtId="0" fontId="38" fillId="44" borderId="0" xfId="0" applyFont="1" applyFill="1" applyAlignment="1">
      <alignment vertical="center" wrapText="1"/>
    </xf>
    <xf numFmtId="0" fontId="57" fillId="40" borderId="9" xfId="0" applyFont="1" applyFill="1" applyBorder="1" applyAlignment="1">
      <alignment vertical="center" wrapText="1"/>
    </xf>
    <xf numFmtId="0" fontId="57" fillId="14" borderId="9" xfId="0" applyFont="1" applyFill="1" applyBorder="1" applyAlignment="1">
      <alignment vertical="center" wrapText="1"/>
    </xf>
    <xf numFmtId="0" fontId="62" fillId="20" borderId="0" xfId="0" applyFont="1" applyFill="1" applyAlignment="1">
      <alignment vertical="center" wrapText="1"/>
    </xf>
    <xf numFmtId="0" fontId="57" fillId="14" borderId="55" xfId="0" applyFont="1" applyFill="1" applyBorder="1" applyAlignment="1">
      <alignment vertical="center" wrapText="1"/>
    </xf>
    <xf numFmtId="0" fontId="57" fillId="40" borderId="55" xfId="0" applyFont="1" applyFill="1" applyBorder="1" applyAlignment="1">
      <alignment vertical="center" wrapText="1"/>
    </xf>
    <xf numFmtId="0" fontId="57" fillId="40" borderId="16" xfId="0" applyFont="1" applyFill="1" applyBorder="1" applyAlignment="1">
      <alignment vertical="center" wrapText="1"/>
    </xf>
    <xf numFmtId="0" fontId="57" fillId="40" borderId="62" xfId="0" applyFont="1" applyFill="1" applyBorder="1" applyAlignment="1">
      <alignment vertical="center" wrapText="1"/>
    </xf>
    <xf numFmtId="0" fontId="57" fillId="40" borderId="17" xfId="0" applyFont="1" applyFill="1" applyBorder="1" applyAlignment="1">
      <alignment vertical="center" wrapText="1"/>
    </xf>
    <xf numFmtId="0" fontId="57" fillId="40" borderId="25" xfId="0" applyFont="1" applyFill="1" applyBorder="1" applyAlignment="1">
      <alignment vertical="center" wrapText="1"/>
    </xf>
    <xf numFmtId="0" fontId="57" fillId="40" borderId="70" xfId="0" applyFont="1" applyFill="1" applyBorder="1" applyAlignment="1">
      <alignment vertical="center" wrapText="1"/>
    </xf>
    <xf numFmtId="0" fontId="57" fillId="40" borderId="68" xfId="0" applyFont="1" applyFill="1" applyBorder="1" applyAlignment="1">
      <alignment vertical="center" wrapText="1"/>
    </xf>
    <xf numFmtId="0" fontId="57" fillId="40" borderId="69" xfId="0" applyFont="1" applyFill="1" applyBorder="1" applyAlignment="1">
      <alignment vertical="center" wrapText="1"/>
    </xf>
    <xf numFmtId="0" fontId="57" fillId="14" borderId="65" xfId="0" applyFont="1" applyFill="1" applyBorder="1" applyAlignment="1">
      <alignment vertical="center" wrapText="1"/>
    </xf>
    <xf numFmtId="0" fontId="57" fillId="14" borderId="66" xfId="0" applyFont="1" applyFill="1" applyBorder="1" applyAlignment="1">
      <alignment vertical="center" wrapText="1"/>
    </xf>
    <xf numFmtId="0" fontId="57" fillId="14" borderId="16" xfId="0" applyFont="1" applyFill="1" applyBorder="1" applyAlignment="1">
      <alignment vertical="center" wrapText="1"/>
    </xf>
    <xf numFmtId="0" fontId="57" fillId="14" borderId="124" xfId="0" applyFont="1" applyFill="1" applyBorder="1" applyAlignment="1">
      <alignment vertical="center" wrapText="1"/>
    </xf>
    <xf numFmtId="0" fontId="57" fillId="14" borderId="125" xfId="0" applyFont="1" applyFill="1" applyBorder="1" applyAlignment="1">
      <alignment vertical="center" wrapText="1"/>
    </xf>
    <xf numFmtId="0" fontId="57" fillId="14" borderId="68" xfId="0" applyFont="1" applyFill="1" applyBorder="1" applyAlignment="1">
      <alignment vertical="center" wrapText="1"/>
    </xf>
    <xf numFmtId="0" fontId="57" fillId="14" borderId="69" xfId="0" applyFont="1" applyFill="1" applyBorder="1" applyAlignment="1">
      <alignment vertical="center" wrapText="1"/>
    </xf>
    <xf numFmtId="0" fontId="57" fillId="40" borderId="36" xfId="0" applyFont="1" applyFill="1" applyBorder="1" applyAlignment="1">
      <alignment vertical="center" wrapText="1"/>
    </xf>
    <xf numFmtId="0" fontId="57" fillId="14" borderId="122" xfId="0" applyFont="1" applyFill="1" applyBorder="1" applyAlignment="1">
      <alignment vertical="center" wrapText="1"/>
    </xf>
    <xf numFmtId="0" fontId="57" fillId="14" borderId="59" xfId="0" applyFont="1" applyFill="1" applyBorder="1" applyAlignment="1">
      <alignment vertical="center" wrapText="1"/>
    </xf>
    <xf numFmtId="0" fontId="57" fillId="14" borderId="60" xfId="0" applyFont="1" applyFill="1" applyBorder="1" applyAlignment="1">
      <alignment vertical="center" wrapText="1"/>
    </xf>
    <xf numFmtId="0" fontId="42" fillId="40" borderId="16" xfId="0" applyFont="1" applyFill="1" applyBorder="1" applyAlignment="1">
      <alignment vertical="center" wrapText="1"/>
    </xf>
    <xf numFmtId="0" fontId="42" fillId="14" borderId="62" xfId="0" applyFont="1" applyFill="1" applyBorder="1" applyAlignment="1">
      <alignment vertical="center" wrapText="1"/>
    </xf>
    <xf numFmtId="0" fontId="42" fillId="14" borderId="17" xfId="0" applyFont="1" applyFill="1" applyBorder="1" applyAlignment="1">
      <alignment vertical="center" wrapText="1"/>
    </xf>
    <xf numFmtId="0" fontId="42" fillId="14" borderId="82" xfId="0" applyFont="1" applyFill="1" applyBorder="1" applyAlignment="1">
      <alignment vertical="center" wrapText="1"/>
    </xf>
    <xf numFmtId="0" fontId="42" fillId="14" borderId="83" xfId="0" applyFont="1" applyFill="1" applyBorder="1" applyAlignment="1">
      <alignment vertical="center" wrapText="1"/>
    </xf>
    <xf numFmtId="0" fontId="42" fillId="14" borderId="59" xfId="0" applyFont="1" applyFill="1" applyBorder="1" applyAlignment="1">
      <alignment vertical="center" wrapText="1"/>
    </xf>
    <xf numFmtId="0" fontId="42" fillId="14" borderId="71" xfId="0" applyFont="1" applyFill="1" applyBorder="1" applyAlignment="1">
      <alignment vertical="center" wrapText="1"/>
    </xf>
    <xf numFmtId="0" fontId="42" fillId="14" borderId="68" xfId="0" applyFont="1" applyFill="1" applyBorder="1" applyAlignment="1">
      <alignment vertical="center" wrapText="1"/>
    </xf>
    <xf numFmtId="0" fontId="42" fillId="14" borderId="69" xfId="0" applyFont="1" applyFill="1" applyBorder="1" applyAlignment="1">
      <alignment vertical="center" wrapText="1"/>
    </xf>
    <xf numFmtId="0" fontId="42" fillId="40" borderId="62" xfId="0" applyFont="1" applyFill="1" applyBorder="1" applyAlignment="1">
      <alignment vertical="center" wrapText="1"/>
    </xf>
    <xf numFmtId="0" fontId="42" fillId="40" borderId="17" xfId="0" applyFont="1" applyFill="1" applyBorder="1" applyAlignment="1">
      <alignment vertical="center" wrapText="1"/>
    </xf>
    <xf numFmtId="0" fontId="42" fillId="27" borderId="62" xfId="0" applyFont="1" applyFill="1" applyBorder="1" applyAlignment="1">
      <alignment vertical="center" wrapText="1"/>
    </xf>
    <xf numFmtId="0" fontId="42" fillId="27" borderId="17" xfId="0" applyFont="1" applyFill="1" applyBorder="1" applyAlignment="1">
      <alignment vertical="center" wrapText="1"/>
    </xf>
    <xf numFmtId="0" fontId="42" fillId="40" borderId="68" xfId="0" applyFont="1" applyFill="1" applyBorder="1" applyAlignment="1">
      <alignment vertical="center" wrapText="1"/>
    </xf>
    <xf numFmtId="0" fontId="42" fillId="40" borderId="69" xfId="0" applyFont="1" applyFill="1" applyBorder="1" applyAlignment="1">
      <alignment vertical="center" wrapText="1"/>
    </xf>
    <xf numFmtId="0" fontId="42" fillId="40" borderId="65" xfId="0" applyFont="1" applyFill="1" applyBorder="1" applyAlignment="1">
      <alignment vertical="center" wrapText="1"/>
    </xf>
    <xf numFmtId="0" fontId="42" fillId="40" borderId="66" xfId="0" applyFont="1" applyFill="1" applyBorder="1" applyAlignment="1">
      <alignment vertical="center" wrapText="1"/>
    </xf>
    <xf numFmtId="0" fontId="42" fillId="14" borderId="79" xfId="0" applyFont="1" applyFill="1" applyBorder="1" applyAlignment="1">
      <alignment vertical="center" wrapText="1"/>
    </xf>
    <xf numFmtId="0" fontId="42" fillId="14" borderId="19" xfId="0" applyFont="1" applyFill="1" applyBorder="1" applyAlignment="1">
      <alignment vertical="center" wrapText="1"/>
    </xf>
    <xf numFmtId="0" fontId="42" fillId="14" borderId="9" xfId="0" applyFont="1" applyFill="1" applyBorder="1" applyAlignment="1">
      <alignment vertical="center" wrapText="1"/>
    </xf>
    <xf numFmtId="0" fontId="42" fillId="46" borderId="9" xfId="0" applyFont="1" applyFill="1" applyBorder="1" applyAlignment="1">
      <alignment vertical="center" wrapText="1"/>
    </xf>
    <xf numFmtId="0" fontId="34" fillId="6" borderId="25" xfId="0" applyFont="1" applyFill="1" applyBorder="1" applyAlignment="1">
      <alignment horizontal="center" vertical="center" wrapText="1"/>
    </xf>
    <xf numFmtId="10" fontId="83" fillId="54" borderId="24" xfId="0" applyNumberFormat="1" applyFont="1" applyFill="1" applyBorder="1" applyAlignment="1">
      <alignment horizontal="center" vertical="center"/>
    </xf>
    <xf numFmtId="10" fontId="71" fillId="24" borderId="108" xfId="1" applyNumberFormat="1" applyFont="1" applyFill="1" applyBorder="1" applyAlignment="1">
      <alignment horizontal="center" vertical="center" wrapText="1"/>
    </xf>
    <xf numFmtId="0" fontId="58" fillId="2" borderId="27" xfId="0" applyFont="1" applyFill="1" applyBorder="1" applyAlignment="1">
      <alignment horizontal="center" vertical="center" wrapText="1"/>
    </xf>
    <xf numFmtId="0" fontId="57" fillId="0" borderId="28" xfId="0" applyFont="1" applyBorder="1"/>
    <xf numFmtId="0" fontId="58" fillId="7" borderId="39" xfId="0" applyFont="1" applyFill="1" applyBorder="1" applyAlignment="1">
      <alignment horizontal="left" vertical="center" wrapText="1"/>
    </xf>
    <xf numFmtId="0" fontId="57" fillId="0" borderId="26" xfId="0" applyFont="1" applyBorder="1"/>
    <xf numFmtId="0" fontId="58" fillId="10" borderId="5" xfId="0" applyFont="1" applyFill="1" applyBorder="1" applyAlignment="1">
      <alignment horizontal="center" vertical="center" wrapText="1"/>
    </xf>
    <xf numFmtId="0" fontId="57" fillId="0" borderId="6" xfId="0" applyFont="1" applyBorder="1"/>
    <xf numFmtId="0" fontId="61" fillId="12" borderId="5" xfId="0" applyFont="1" applyFill="1" applyBorder="1" applyAlignment="1">
      <alignment vertical="center" wrapText="1"/>
    </xf>
    <xf numFmtId="0" fontId="58" fillId="15" borderId="5" xfId="0" applyFont="1" applyFill="1" applyBorder="1" applyAlignment="1">
      <alignment horizontal="center" vertical="center" wrapText="1"/>
    </xf>
    <xf numFmtId="0" fontId="57" fillId="0" borderId="137" xfId="0" applyFont="1" applyBorder="1"/>
    <xf numFmtId="0" fontId="78" fillId="7" borderId="67" xfId="0" applyFont="1" applyFill="1" applyBorder="1" applyAlignment="1">
      <alignment horizontal="center" vertical="center" wrapText="1"/>
    </xf>
    <xf numFmtId="0" fontId="77" fillId="0" borderId="26" xfId="0" applyFont="1" applyBorder="1"/>
    <xf numFmtId="0" fontId="81" fillId="10" borderId="52" xfId="0" applyFont="1" applyFill="1" applyBorder="1" applyAlignment="1">
      <alignment vertical="center" wrapText="1"/>
    </xf>
    <xf numFmtId="0" fontId="82" fillId="0" borderId="8" xfId="0" applyFont="1" applyBorder="1"/>
    <xf numFmtId="0" fontId="70" fillId="12" borderId="52" xfId="0" applyFont="1" applyFill="1" applyBorder="1" applyAlignment="1">
      <alignment vertical="center" wrapText="1"/>
    </xf>
    <xf numFmtId="0" fontId="66" fillId="0" borderId="8" xfId="0" applyFont="1" applyBorder="1"/>
    <xf numFmtId="0" fontId="61" fillId="12" borderId="52" xfId="0" applyFont="1" applyFill="1" applyBorder="1" applyAlignment="1">
      <alignment vertical="center" wrapText="1"/>
    </xf>
    <xf numFmtId="0" fontId="57" fillId="0" borderId="13" xfId="0" applyFont="1" applyBorder="1"/>
    <xf numFmtId="0" fontId="57" fillId="0" borderId="8" xfId="0" applyFont="1" applyBorder="1"/>
    <xf numFmtId="0" fontId="61" fillId="12" borderId="67" xfId="0" applyFont="1" applyFill="1" applyBorder="1" applyAlignment="1">
      <alignment vertical="center" wrapText="1"/>
    </xf>
    <xf numFmtId="0" fontId="57" fillId="0" borderId="18" xfId="0" applyFont="1" applyBorder="1"/>
    <xf numFmtId="0" fontId="58" fillId="10" borderId="52" xfId="0" applyFont="1" applyFill="1" applyBorder="1" applyAlignment="1">
      <alignment vertical="center" wrapText="1"/>
    </xf>
    <xf numFmtId="0" fontId="61" fillId="12" borderId="63" xfId="0" applyFont="1" applyFill="1" applyBorder="1" applyAlignment="1">
      <alignment vertical="center" wrapText="1"/>
    </xf>
    <xf numFmtId="0" fontId="57" fillId="0" borderId="47" xfId="0" applyFont="1" applyBorder="1"/>
    <xf numFmtId="0" fontId="58" fillId="10" borderId="63" xfId="0" applyFont="1" applyFill="1" applyBorder="1" applyAlignment="1">
      <alignment vertical="center" wrapText="1"/>
    </xf>
    <xf numFmtId="0" fontId="61" fillId="12" borderId="27" xfId="0" applyFont="1" applyFill="1" applyBorder="1" applyAlignment="1">
      <alignment vertical="center" wrapText="1"/>
    </xf>
    <xf numFmtId="0" fontId="57" fillId="0" borderId="70" xfId="0" applyFont="1" applyBorder="1"/>
    <xf numFmtId="0" fontId="43" fillId="10" borderId="27" xfId="0" applyFont="1" applyFill="1" applyBorder="1" applyAlignment="1">
      <alignment vertical="center" wrapText="1"/>
    </xf>
    <xf numFmtId="0" fontId="42" fillId="0" borderId="70" xfId="0" applyFont="1" applyBorder="1"/>
    <xf numFmtId="0" fontId="46" fillId="12" borderId="67" xfId="0" applyFont="1" applyFill="1" applyBorder="1" applyAlignment="1">
      <alignment vertical="center" wrapText="1"/>
    </xf>
    <xf numFmtId="0" fontId="42" fillId="0" borderId="18" xfId="0" applyFont="1" applyBorder="1"/>
    <xf numFmtId="0" fontId="46" fillId="12" borderId="52" xfId="0" applyFont="1" applyFill="1" applyBorder="1" applyAlignment="1">
      <alignment vertical="center" wrapText="1"/>
    </xf>
    <xf numFmtId="0" fontId="42" fillId="0" borderId="13" xfId="0" applyFont="1" applyBorder="1"/>
    <xf numFmtId="0" fontId="43" fillId="2" borderId="49"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8" fillId="7" borderId="52" xfId="0" applyFont="1" applyFill="1" applyBorder="1" applyAlignment="1">
      <alignment horizontal="center" vertical="center" wrapText="1"/>
    </xf>
    <xf numFmtId="0" fontId="47" fillId="0" borderId="8" xfId="0" applyFont="1" applyBorder="1"/>
    <xf numFmtId="0" fontId="43" fillId="10" borderId="52" xfId="0" applyFont="1" applyFill="1" applyBorder="1" applyAlignment="1">
      <alignment vertical="center" wrapText="1"/>
    </xf>
    <xf numFmtId="0" fontId="42" fillId="0" borderId="8" xfId="0" applyFont="1" applyBorder="1"/>
    <xf numFmtId="0" fontId="46" fillId="12" borderId="27" xfId="0" applyFont="1" applyFill="1" applyBorder="1" applyAlignment="1">
      <alignment vertical="center" wrapText="1"/>
    </xf>
    <xf numFmtId="0" fontId="46" fillId="12" borderId="36" xfId="0" applyFont="1" applyFill="1" applyBorder="1" applyAlignment="1">
      <alignment vertical="center" wrapText="1"/>
    </xf>
    <xf numFmtId="0" fontId="42" fillId="0" borderId="0" xfId="0" applyFont="1" applyBorder="1"/>
    <xf numFmtId="0" fontId="42" fillId="0" borderId="53" xfId="0" applyFont="1" applyBorder="1"/>
    <xf numFmtId="0" fontId="43" fillId="2" borderId="90" xfId="0" applyFont="1" applyFill="1" applyBorder="1" applyAlignment="1">
      <alignment horizontal="center" vertical="center" wrapText="1"/>
    </xf>
    <xf numFmtId="0" fontId="55" fillId="7" borderId="52" xfId="0" applyFont="1" applyFill="1" applyBorder="1" applyAlignment="1">
      <alignment horizontal="center" vertical="center" wrapText="1"/>
    </xf>
    <xf numFmtId="0" fontId="56" fillId="0" borderId="53" xfId="0" applyFont="1" applyBorder="1"/>
    <xf numFmtId="0" fontId="43" fillId="10" borderId="7" xfId="0" applyFont="1" applyFill="1" applyBorder="1" applyAlignment="1">
      <alignment vertical="center" wrapText="1"/>
    </xf>
    <xf numFmtId="0" fontId="43" fillId="2" borderId="27" xfId="0" applyFont="1" applyFill="1" applyBorder="1" applyAlignment="1">
      <alignment horizontal="center" vertical="center" wrapText="1"/>
    </xf>
    <xf numFmtId="0" fontId="43" fillId="2" borderId="120" xfId="0" applyFont="1" applyFill="1" applyBorder="1" applyAlignment="1">
      <alignment horizontal="center" vertical="center" wrapText="1"/>
    </xf>
    <xf numFmtId="0" fontId="22" fillId="7" borderId="39" xfId="0" applyFont="1" applyFill="1" applyBorder="1" applyAlignment="1">
      <alignment horizontal="center" vertical="center" wrapText="1"/>
    </xf>
    <xf numFmtId="0" fontId="39" fillId="0" borderId="26" xfId="0" applyFont="1" applyBorder="1"/>
    <xf numFmtId="0" fontId="67" fillId="10" borderId="7" xfId="0" applyFont="1" applyFill="1" applyBorder="1" applyAlignment="1">
      <alignment vertical="center" wrapText="1"/>
    </xf>
    <xf numFmtId="0" fontId="46" fillId="12" borderId="7" xfId="0" applyFont="1" applyFill="1" applyBorder="1" applyAlignment="1">
      <alignment vertical="center" wrapText="1"/>
    </xf>
    <xf numFmtId="0" fontId="37" fillId="12" borderId="5" xfId="0" applyFont="1" applyFill="1" applyBorder="1" applyAlignment="1">
      <alignment vertical="center" wrapText="1"/>
    </xf>
    <xf numFmtId="0" fontId="35" fillId="0" borderId="13" xfId="0" applyFont="1" applyBorder="1"/>
    <xf numFmtId="0" fontId="34" fillId="2" borderId="27" xfId="0" applyFont="1" applyFill="1" applyBorder="1" applyAlignment="1">
      <alignment horizontal="center" vertical="center" wrapText="1"/>
    </xf>
    <xf numFmtId="0" fontId="35" fillId="0" borderId="137" xfId="0" applyFont="1" applyBorder="1"/>
    <xf numFmtId="0" fontId="34" fillId="7" borderId="39" xfId="0" applyFont="1" applyFill="1" applyBorder="1" applyAlignment="1">
      <alignment horizontal="center" vertical="center" wrapText="1"/>
    </xf>
    <xf numFmtId="0" fontId="35" fillId="0" borderId="18" xfId="0" applyFont="1" applyBorder="1"/>
    <xf numFmtId="0" fontId="34" fillId="10" borderId="5" xfId="0" applyFont="1" applyFill="1" applyBorder="1" applyAlignment="1">
      <alignment vertical="center" wrapText="1"/>
    </xf>
    <xf numFmtId="9" fontId="7" fillId="0" borderId="95" xfId="0" applyNumberFormat="1" applyFont="1" applyBorder="1" applyAlignment="1">
      <alignment horizontal="center" vertical="center"/>
    </xf>
    <xf numFmtId="9" fontId="7" fillId="0" borderId="24" xfId="0" applyNumberFormat="1" applyFont="1" applyBorder="1" applyAlignment="1">
      <alignment horizontal="center" vertical="center"/>
    </xf>
    <xf numFmtId="9" fontId="7" fillId="0" borderId="101" xfId="0" applyNumberFormat="1" applyFont="1" applyBorder="1" applyAlignment="1">
      <alignment horizontal="center" vertical="center"/>
    </xf>
    <xf numFmtId="9" fontId="7" fillId="0" borderId="32" xfId="0" applyNumberFormat="1" applyFont="1" applyBorder="1" applyAlignment="1">
      <alignment horizontal="center" vertical="center"/>
    </xf>
    <xf numFmtId="9" fontId="7" fillId="0" borderId="100" xfId="0" applyNumberFormat="1" applyFont="1" applyBorder="1" applyAlignment="1">
      <alignment horizontal="center" vertical="center"/>
    </xf>
    <xf numFmtId="9" fontId="7" fillId="0" borderId="103" xfId="0" applyNumberFormat="1" applyFont="1" applyBorder="1" applyAlignment="1">
      <alignment horizontal="center" vertical="center"/>
    </xf>
    <xf numFmtId="9" fontId="7" fillId="0" borderId="33" xfId="0" applyNumberFormat="1" applyFont="1" applyBorder="1" applyAlignment="1">
      <alignment horizontal="center" vertical="center"/>
    </xf>
    <xf numFmtId="9" fontId="7" fillId="0" borderId="104" xfId="0" applyNumberFormat="1" applyFont="1" applyBorder="1" applyAlignment="1">
      <alignment horizontal="center" vertical="center"/>
    </xf>
    <xf numFmtId="9" fontId="7" fillId="0" borderId="94" xfId="0" applyNumberFormat="1" applyFont="1" applyBorder="1" applyAlignment="1">
      <alignment horizontal="center" vertical="center"/>
    </xf>
    <xf numFmtId="0" fontId="12" fillId="19" borderId="91" xfId="0" applyFont="1" applyFill="1" applyBorder="1" applyAlignment="1">
      <alignment horizontal="center" vertical="center" wrapText="1"/>
    </xf>
    <xf numFmtId="0" fontId="12" fillId="19" borderId="92" xfId="0" applyFont="1" applyFill="1" applyBorder="1" applyAlignment="1">
      <alignment horizontal="center" vertical="center" wrapText="1"/>
    </xf>
  </cellXfs>
  <cellStyles count="5">
    <cellStyle name="Millares" xfId="3" builtinId="3"/>
    <cellStyle name="Moneda" xfId="4" builtinId="4"/>
    <cellStyle name="Normal" xfId="0" builtinId="0"/>
    <cellStyle name="Normal 2" xfId="2"/>
    <cellStyle name="Porcentaje" xfId="1" builtinId="5"/>
  </cellStyles>
  <dxfs count="1">
    <dxf>
      <fill>
        <patternFill patternType="solid">
          <fgColor rgb="FFCFE2F3"/>
          <bgColor rgb="FFCFE2F3"/>
        </patternFill>
      </fill>
    </dxf>
  </dxfs>
  <tableStyles count="0" defaultTableStyle="TableStyleMedium2" defaultPivotStyle="PivotStyleLight16"/>
  <colors>
    <mruColors>
      <color rgb="FFFF7C80"/>
      <color rgb="FFFF9999"/>
      <color rgb="FFCC0066"/>
      <color rgb="FF663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r>
              <a:rPr lang="es-CO" sz="2800"/>
              <a:t>LOGRO OBTENIDO  CORTE </a:t>
            </a:r>
            <a:r>
              <a:rPr lang="es-CO" sz="2800" baseline="0"/>
              <a:t> 15 DE SEPTIEMBRE </a:t>
            </a:r>
            <a:r>
              <a:rPr lang="es-CO" sz="2800"/>
              <a:t> 2025 RESPECTO AL CUATRIENIO. LINEAS ESTRATEGICAS.</a:t>
            </a:r>
          </a:p>
        </c:rich>
      </c:tx>
      <c:layout/>
      <c:overlay val="0"/>
      <c:spPr>
        <a:noFill/>
        <a:ln>
          <a:noFill/>
        </a:ln>
        <a:effectLst/>
      </c:spPr>
      <c:txPr>
        <a:bodyPr rot="0" spcFirstLastPara="1" vertOverflow="ellipsis" vert="horz" wrap="square" anchor="ctr" anchorCtr="1"/>
        <a:lstStyle/>
        <a:p>
          <a:pPr>
            <a:defRPr sz="28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'SEGUIMIENTO DEL PLAN DE DESARRO'!$K$2</c:f>
              <c:strCache>
                <c:ptCount val="1"/>
                <c:pt idx="0">
                  <c:v>AVANCE ACUMULADO  CORTE  SEPTIEMBRE 15 DE 2025 RESPECTO AL CUATRIENIO</c:v>
                </c:pt>
              </c:strCache>
            </c:strRef>
          </c:tx>
          <c:spPr>
            <a:solidFill>
              <a:srgbClr val="92D050"/>
            </a:solidFill>
            <a:ln>
              <a:noFill/>
            </a:ln>
            <a:effectLst/>
          </c:spPr>
          <c:invertIfNegative val="0"/>
          <c:dPt>
            <c:idx val="0"/>
            <c:invertIfNegative val="0"/>
            <c:bubble3D val="0"/>
            <c:spPr>
              <a:solidFill>
                <a:srgbClr val="92D050"/>
              </a:solidFill>
              <a:ln>
                <a:noFill/>
              </a:ln>
              <a:effectLst/>
            </c:spPr>
            <c:extLst>
              <c:ext xmlns:c16="http://schemas.microsoft.com/office/drawing/2014/chart" uri="{C3380CC4-5D6E-409C-BE32-E72D297353CC}">
                <c16:uniqueId val="{00000000-AB1B-4A44-8E69-583E8FE5124E}"/>
              </c:ext>
            </c:extLst>
          </c:dPt>
          <c:dPt>
            <c:idx val="1"/>
            <c:invertIfNegative val="0"/>
            <c:bubble3D val="0"/>
            <c:spPr>
              <a:solidFill>
                <a:srgbClr val="92D050"/>
              </a:solidFill>
              <a:ln>
                <a:noFill/>
              </a:ln>
              <a:effectLst/>
            </c:spPr>
            <c:extLst>
              <c:ext xmlns:c16="http://schemas.microsoft.com/office/drawing/2014/chart" uri="{C3380CC4-5D6E-409C-BE32-E72D297353CC}">
                <c16:uniqueId val="{00000001-AB1B-4A44-8E69-583E8FE5124E}"/>
              </c:ext>
            </c:extLst>
          </c:dPt>
          <c:dPt>
            <c:idx val="2"/>
            <c:invertIfNegative val="0"/>
            <c:bubble3D val="0"/>
            <c:spPr>
              <a:solidFill>
                <a:srgbClr val="92D050"/>
              </a:solidFill>
              <a:ln>
                <a:noFill/>
              </a:ln>
              <a:effectLst/>
            </c:spPr>
            <c:extLst>
              <c:ext xmlns:c16="http://schemas.microsoft.com/office/drawing/2014/chart" uri="{C3380CC4-5D6E-409C-BE32-E72D297353CC}">
                <c16:uniqueId val="{00000003-AB1B-4A44-8E69-583E8FE5124E}"/>
              </c:ext>
            </c:extLst>
          </c:dPt>
          <c:dPt>
            <c:idx val="3"/>
            <c:invertIfNegative val="0"/>
            <c:bubble3D val="0"/>
            <c:spPr>
              <a:solidFill>
                <a:srgbClr val="92D050"/>
              </a:solidFill>
              <a:ln>
                <a:noFill/>
              </a:ln>
              <a:effectLst/>
            </c:spPr>
            <c:extLst>
              <c:ext xmlns:c16="http://schemas.microsoft.com/office/drawing/2014/chart" uri="{C3380CC4-5D6E-409C-BE32-E72D297353CC}">
                <c16:uniqueId val="{00000006-AB1B-4A44-8E69-583E8FE5124E}"/>
              </c:ext>
            </c:extLst>
          </c:dPt>
          <c:dPt>
            <c:idx val="4"/>
            <c:invertIfNegative val="0"/>
            <c:bubble3D val="0"/>
            <c:spPr>
              <a:solidFill>
                <a:srgbClr val="92D050"/>
              </a:solidFill>
              <a:ln>
                <a:noFill/>
              </a:ln>
              <a:effectLst/>
            </c:spPr>
            <c:extLst>
              <c:ext xmlns:c16="http://schemas.microsoft.com/office/drawing/2014/chart" uri="{C3380CC4-5D6E-409C-BE32-E72D297353CC}">
                <c16:uniqueId val="{0000000C-AB1B-4A44-8E69-583E8FE5124E}"/>
              </c:ext>
            </c:extLst>
          </c:dPt>
          <c:dPt>
            <c:idx val="5"/>
            <c:invertIfNegative val="0"/>
            <c:bubble3D val="0"/>
            <c:spPr>
              <a:solidFill>
                <a:srgbClr val="92D050"/>
              </a:solidFill>
              <a:ln>
                <a:noFill/>
              </a:ln>
              <a:effectLst/>
            </c:spPr>
            <c:extLst>
              <c:ext xmlns:c16="http://schemas.microsoft.com/office/drawing/2014/chart" uri="{C3380CC4-5D6E-409C-BE32-E72D297353CC}">
                <c16:uniqueId val="{00000010-AB1B-4A44-8E69-583E8FE5124E}"/>
              </c:ext>
            </c:extLst>
          </c:dPt>
          <c:dPt>
            <c:idx val="6"/>
            <c:invertIfNegative val="0"/>
            <c:bubble3D val="0"/>
            <c:spPr>
              <a:solidFill>
                <a:srgbClr val="FF7C80"/>
              </a:solidFill>
              <a:ln>
                <a:noFill/>
              </a:ln>
              <a:effectLst/>
            </c:spPr>
            <c:extLst>
              <c:ext xmlns:c16="http://schemas.microsoft.com/office/drawing/2014/chart" uri="{C3380CC4-5D6E-409C-BE32-E72D297353CC}">
                <c16:uniqueId val="{00000011-AB1B-4A44-8E69-583E8FE5124E}"/>
              </c:ext>
            </c:extLst>
          </c:dPt>
          <c:dLbls>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0.38419748559584826</c:v>
                </c:pt>
                <c:pt idx="1">
                  <c:v>0.40925072197022161</c:v>
                </c:pt>
                <c:pt idx="2">
                  <c:v>0.42235106158210151</c:v>
                </c:pt>
                <c:pt idx="3">
                  <c:v>0.39109264677080313</c:v>
                </c:pt>
                <c:pt idx="4">
                  <c:v>0.41935961281116779</c:v>
                </c:pt>
                <c:pt idx="5">
                  <c:v>0.43848933604926138</c:v>
                </c:pt>
                <c:pt idx="6">
                  <c:v>0.22464153439153436</c:v>
                </c:pt>
              </c:numCache>
            </c:numRef>
          </c:val>
          <c:extLst>
            <c:ext xmlns:c16="http://schemas.microsoft.com/office/drawing/2014/chart" uri="{C3380CC4-5D6E-409C-BE32-E72D297353CC}">
              <c16:uniqueId val="{00000000-1806-4801-B684-B4D48E14E30B}"/>
            </c:ext>
          </c:extLst>
        </c:ser>
        <c:dLbls>
          <c:showLegendKey val="0"/>
          <c:showVal val="0"/>
          <c:showCatName val="0"/>
          <c:showSerName val="0"/>
          <c:showPercent val="0"/>
          <c:showBubbleSize val="0"/>
        </c:dLbls>
        <c:gapWidth val="100"/>
        <c:overlap val="-24"/>
        <c:axId val="425495288"/>
        <c:axId val="425495680"/>
      </c:barChart>
      <c:catAx>
        <c:axId val="42549528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2200" b="1" i="0" u="none" strike="noStrike" kern="1200" baseline="0">
                <a:solidFill>
                  <a:schemeClr val="tx2"/>
                </a:solidFill>
                <a:latin typeface="+mn-lt"/>
                <a:ea typeface="+mn-ea"/>
                <a:cs typeface="+mn-cs"/>
              </a:defRPr>
            </a:pPr>
            <a:endParaRPr lang="es-CO"/>
          </a:p>
        </c:txPr>
        <c:crossAx val="425495680"/>
        <c:crosses val="autoZero"/>
        <c:auto val="1"/>
        <c:lblAlgn val="ctr"/>
        <c:lblOffset val="100"/>
        <c:noMultiLvlLbl val="0"/>
      </c:catAx>
      <c:valAx>
        <c:axId val="425495680"/>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100" b="0" i="0" u="none" strike="noStrike" kern="1200" baseline="0">
                <a:solidFill>
                  <a:schemeClr val="tx2"/>
                </a:solidFill>
                <a:latin typeface="+mn-lt"/>
                <a:ea typeface="+mn-ea"/>
                <a:cs typeface="+mn-cs"/>
              </a:defRPr>
            </a:pPr>
            <a:endParaRPr lang="es-CO"/>
          </a:p>
        </c:txPr>
        <c:crossAx val="425495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200" b="1"/>
              <a:t>AVANCE</a:t>
            </a:r>
            <a:r>
              <a:rPr lang="es-CO" sz="3200" b="1" baseline="0"/>
              <a:t> ESPERADO ACUMULADO CUATRIENIO  2025  - LOGRO ALCANZADO ACUMULADO CUATRIENIO  15 DE SEPTIEMBRE 2025. LINEAS ESTRATEGICAS.</a:t>
            </a:r>
            <a:endParaRPr lang="es-CO" sz="3200"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052880145467711E-2"/>
          <c:y val="0.11955631399317407"/>
          <c:w val="0.97481232361628778"/>
          <c:h val="0.72866016321338678"/>
        </c:manualLayout>
      </c:layout>
      <c:bar3DChart>
        <c:barDir val="col"/>
        <c:grouping val="clustered"/>
        <c:varyColors val="0"/>
        <c:ser>
          <c:idx val="0"/>
          <c:order val="0"/>
          <c:tx>
            <c:strRef>
              <c:f>'SEGUIMIENTO DEL PLAN DE DESARRO'!$F$2</c:f>
              <c:strCache>
                <c:ptCount val="1"/>
                <c:pt idx="0">
                  <c:v>AVANCE ESPERADO ACUMULADO CUATRIENIO 2024 - 2025</c:v>
                </c:pt>
              </c:strCache>
            </c:strRef>
          </c:tx>
          <c:spPr>
            <a:solidFill>
              <a:schemeClr val="accent1"/>
            </a:solidFill>
            <a:ln>
              <a:noFill/>
            </a:ln>
            <a:effectLst/>
            <a:sp3d/>
          </c:spPr>
          <c:invertIfNegative val="0"/>
          <c:dLbls>
            <c:dLbl>
              <c:idx val="0"/>
              <c:layout>
                <c:manualLayout>
                  <c:x val="1.0449312257020485E-2"/>
                  <c:y val="-4.672918908111092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663-408B-AE44-FBB22E109B6F}"/>
                </c:ext>
              </c:extLst>
            </c:dLbl>
            <c:dLbl>
              <c:idx val="1"/>
              <c:layout>
                <c:manualLayout>
                  <c:x val="1.0908136482939633E-2"/>
                  <c:y val="-2.26884955583695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663-408B-AE44-FBB22E109B6F}"/>
                </c:ext>
              </c:extLst>
            </c:dLbl>
            <c:dLbl>
              <c:idx val="2"/>
              <c:layout>
                <c:manualLayout>
                  <c:x val="1.671891327063741E-2"/>
                  <c:y val="-1.36518771331058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663-408B-AE44-FBB22E109B6F}"/>
                </c:ext>
              </c:extLst>
            </c:dLbl>
            <c:dLbl>
              <c:idx val="3"/>
              <c:layout>
                <c:manualLayout>
                  <c:x val="1.0449320794148304E-2"/>
                  <c:y val="-1.13765642775881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663-408B-AE44-FBB22E109B6F}"/>
                </c:ext>
              </c:extLst>
            </c:dLbl>
            <c:dLbl>
              <c:idx val="4"/>
              <c:layout>
                <c:manualLayout>
                  <c:x val="1.3584117032392972E-2"/>
                  <c:y val="-1.59271899886234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663-408B-AE44-FBB22E109B6F}"/>
                </c:ext>
              </c:extLst>
            </c:dLbl>
            <c:dLbl>
              <c:idx val="5"/>
              <c:layout>
                <c:manualLayout>
                  <c:x val="1.6260099066564049E-2"/>
                  <c:y val="-3.1295832579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663-408B-AE44-FBB22E109B6F}"/>
                </c:ext>
              </c:extLst>
            </c:dLbl>
            <c:dLbl>
              <c:idx val="6"/>
              <c:layout>
                <c:manualLayout>
                  <c:x val="1.671891327063741E-2"/>
                  <c:y val="-6.82593856655290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663-408B-AE44-FBB22E109B6F}"/>
                </c:ext>
              </c:extLst>
            </c:dLbl>
            <c:spPr>
              <a:noFill/>
              <a:ln>
                <a:noFill/>
              </a:ln>
              <a:effectLst/>
            </c:spPr>
            <c:txPr>
              <a:bodyPr rot="0" spcFirstLastPara="1" vertOverflow="ellipsis" vert="horz" wrap="square" lIns="38100" tIns="19050" rIns="38100" bIns="19050" anchor="ctr" anchorCtr="1">
                <a:spAutoFit/>
              </a:bodyPr>
              <a:lstStyle/>
              <a:p>
                <a:pPr>
                  <a:defRPr sz="3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DESARRO'!$F$3:$F$9</c:f>
              <c:numCache>
                <c:formatCode>0.00%</c:formatCode>
                <c:ptCount val="7"/>
                <c:pt idx="0" formatCode="0.0%">
                  <c:v>0.4958645602098728</c:v>
                </c:pt>
                <c:pt idx="1">
                  <c:v>0.62864059258648508</c:v>
                </c:pt>
                <c:pt idx="2">
                  <c:v>0.52261573838975106</c:v>
                </c:pt>
                <c:pt idx="3">
                  <c:v>0.5453371327856642</c:v>
                </c:pt>
                <c:pt idx="4">
                  <c:v>0.45910331524978565</c:v>
                </c:pt>
                <c:pt idx="5">
                  <c:v>0.50081604759114218</c:v>
                </c:pt>
                <c:pt idx="6">
                  <c:v>0.31880731922398586</c:v>
                </c:pt>
              </c:numCache>
            </c:numRef>
          </c:val>
          <c:extLst>
            <c:ext xmlns:c16="http://schemas.microsoft.com/office/drawing/2014/chart" uri="{C3380CC4-5D6E-409C-BE32-E72D297353CC}">
              <c16:uniqueId val="{00000000-B663-408B-AE44-FBB22E109B6F}"/>
            </c:ext>
          </c:extLst>
        </c:ser>
        <c:ser>
          <c:idx val="1"/>
          <c:order val="1"/>
          <c:tx>
            <c:strRef>
              <c:f>'SEGUIMIENTO DEL PLAN DE DESARRO'!$K$2</c:f>
              <c:strCache>
                <c:ptCount val="1"/>
                <c:pt idx="0">
                  <c:v>AVANCE ACUMULADO  CORTE  SEPTIEMBRE 15 DE 2025 RESPECTO AL CUATRIENIO</c:v>
                </c:pt>
              </c:strCache>
            </c:strRef>
          </c:tx>
          <c:spPr>
            <a:solidFill>
              <a:schemeClr val="accent2"/>
            </a:solidFill>
            <a:ln>
              <a:noFill/>
            </a:ln>
            <a:effectLst/>
            <a:sp3d/>
          </c:spPr>
          <c:invertIfNegative val="0"/>
          <c:dLbls>
            <c:dLbl>
              <c:idx val="0"/>
              <c:layout>
                <c:manualLayout>
                  <c:x val="1.8808777429467103E-2"/>
                  <c:y val="-2.95790671217292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663-408B-AE44-FBB22E109B6F}"/>
                </c:ext>
              </c:extLst>
            </c:dLbl>
            <c:dLbl>
              <c:idx val="1"/>
              <c:layout>
                <c:manualLayout>
                  <c:x val="1.7763845350052286E-2"/>
                  <c:y val="-2.04778156996587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663-408B-AE44-FBB22E109B6F}"/>
                </c:ext>
              </c:extLst>
            </c:dLbl>
            <c:dLbl>
              <c:idx val="2"/>
              <c:layout>
                <c:manualLayout>
                  <c:x val="2.0898641588296761E-2"/>
                  <c:y val="-2.275312855517633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B663-408B-AE44-FBB22E109B6F}"/>
                </c:ext>
              </c:extLst>
            </c:dLbl>
            <c:dLbl>
              <c:idx val="3"/>
              <c:layout>
                <c:manualLayout>
                  <c:x val="2.8213166144200628E-2"/>
                  <c:y val="-2.5028441410693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663-408B-AE44-FBB22E109B6F}"/>
                </c:ext>
              </c:extLst>
            </c:dLbl>
            <c:dLbl>
              <c:idx val="4"/>
              <c:layout>
                <c:manualLayout>
                  <c:x val="2.1943573667711522E-2"/>
                  <c:y val="-2.275312855517633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663-408B-AE44-FBB22E109B6F}"/>
                </c:ext>
              </c:extLst>
            </c:dLbl>
            <c:dLbl>
              <c:idx val="5"/>
              <c:layout>
                <c:manualLayout>
                  <c:x val="2.4033437826541274E-2"/>
                  <c:y val="-2.95790671217293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B663-408B-AE44-FBB22E109B6F}"/>
                </c:ext>
              </c:extLst>
            </c:dLbl>
            <c:dLbl>
              <c:idx val="6"/>
              <c:layout>
                <c:manualLayout>
                  <c:x val="1.7763845350052248E-2"/>
                  <c:y val="-1.59271899886234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663-408B-AE44-FBB22E109B6F}"/>
                </c:ext>
              </c:extLst>
            </c:dLbl>
            <c:spPr>
              <a:noFill/>
              <a:ln>
                <a:noFill/>
              </a:ln>
              <a:effectLst/>
            </c:spPr>
            <c:txPr>
              <a:bodyPr rot="0" spcFirstLastPara="1" vertOverflow="ellipsis" vert="horz" wrap="square" lIns="38100" tIns="19050" rIns="38100" bIns="19050" anchor="ctr" anchorCtr="1">
                <a:spAutoFit/>
              </a:bodyPr>
              <a:lstStyle/>
              <a:p>
                <a:pPr>
                  <a:defRPr sz="35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0.38419748559584826</c:v>
                </c:pt>
                <c:pt idx="1">
                  <c:v>0.40925072197022161</c:v>
                </c:pt>
                <c:pt idx="2">
                  <c:v>0.42235106158210151</c:v>
                </c:pt>
                <c:pt idx="3">
                  <c:v>0.39109264677080313</c:v>
                </c:pt>
                <c:pt idx="4">
                  <c:v>0.41935961281116779</c:v>
                </c:pt>
                <c:pt idx="5">
                  <c:v>0.43848933604926138</c:v>
                </c:pt>
                <c:pt idx="6">
                  <c:v>0.22464153439153436</c:v>
                </c:pt>
              </c:numCache>
            </c:numRef>
          </c:val>
          <c:extLst>
            <c:ext xmlns:c16="http://schemas.microsoft.com/office/drawing/2014/chart" uri="{C3380CC4-5D6E-409C-BE32-E72D297353CC}">
              <c16:uniqueId val="{00000001-B663-408B-AE44-FBB22E109B6F}"/>
            </c:ext>
          </c:extLst>
        </c:ser>
        <c:dLbls>
          <c:showLegendKey val="0"/>
          <c:showVal val="0"/>
          <c:showCatName val="0"/>
          <c:showSerName val="0"/>
          <c:showPercent val="0"/>
          <c:showBubbleSize val="0"/>
        </c:dLbls>
        <c:gapWidth val="150"/>
        <c:shape val="box"/>
        <c:axId val="42060016"/>
        <c:axId val="42060848"/>
        <c:axId val="0"/>
      </c:bar3DChart>
      <c:catAx>
        <c:axId val="420600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42060848"/>
        <c:crosses val="autoZero"/>
        <c:auto val="1"/>
        <c:lblAlgn val="ctr"/>
        <c:lblOffset val="100"/>
        <c:noMultiLvlLbl val="0"/>
      </c:catAx>
      <c:valAx>
        <c:axId val="42060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42060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3000" b="1"/>
              <a:t>VARIACIÓN</a:t>
            </a:r>
            <a:r>
              <a:rPr lang="es-CO" sz="3000" b="1" baseline="0"/>
              <a:t> DEL AVANCE DEL ACUMULADO PLAN DE DESARROLLO CORTE DE DICIEMBRE 2024  A  15 DE SEPTIEMBRE 2025</a:t>
            </a:r>
            <a:endParaRPr lang="es-CO" sz="3000" b="1"/>
          </a:p>
        </c:rich>
      </c:tx>
      <c:layout>
        <c:manualLayout>
          <c:xMode val="edge"/>
          <c:yMode val="edge"/>
          <c:x val="0.11516895459345299"/>
          <c:y val="0"/>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70220921434451E-2"/>
          <c:y val="9.9997178404211226E-2"/>
          <c:w val="0.95448997663570834"/>
          <c:h val="0.72126530936152577"/>
        </c:manualLayout>
      </c:layout>
      <c:bar3DChart>
        <c:barDir val="col"/>
        <c:grouping val="clustered"/>
        <c:varyColors val="0"/>
        <c:ser>
          <c:idx val="0"/>
          <c:order val="0"/>
          <c:tx>
            <c:strRef>
              <c:f>'SEGUIMIENTO DEL PLAN DE DESARRO'!$D$2</c:f>
              <c:strCache>
                <c:ptCount val="1"/>
                <c:pt idx="0">
                  <c:v>AVANCE  CORTE DICIEMBRE  2024 RESPECTO AL CUATRIENIO </c:v>
                </c:pt>
              </c:strCache>
            </c:strRef>
          </c:tx>
          <c:spPr>
            <a:solidFill>
              <a:schemeClr val="accent1"/>
            </a:solidFill>
            <a:ln>
              <a:noFill/>
            </a:ln>
            <a:effectLst/>
            <a:sp3d/>
          </c:spPr>
          <c:invertIfNegative val="0"/>
          <c:dLbls>
            <c:dLbl>
              <c:idx val="0"/>
              <c:layout>
                <c:manualLayout>
                  <c:x val="-5.279831045406547E-3"/>
                  <c:y val="-1.567749160134378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429-4A4C-9E1C-5951C28063E3}"/>
                </c:ext>
              </c:extLst>
            </c:dLbl>
            <c:dLbl>
              <c:idx val="1"/>
              <c:layout>
                <c:manualLayout>
                  <c:x val="-3.167898627243967E-3"/>
                  <c:y val="-1.34378499440089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429-4A4C-9E1C-5951C28063E3}"/>
                </c:ext>
              </c:extLst>
            </c:dLbl>
            <c:dLbl>
              <c:idx val="2"/>
              <c:layout>
                <c:manualLayout>
                  <c:x val="2.1119324181626186E-3"/>
                  <c:y val="-1.34378499440089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429-4A4C-9E1C-5951C28063E3}"/>
                </c:ext>
              </c:extLst>
            </c:dLbl>
            <c:dLbl>
              <c:idx val="3"/>
              <c:layout>
                <c:manualLayout>
                  <c:x val="3.1678986272439284E-3"/>
                  <c:y val="-1.567749160134378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429-4A4C-9E1C-5951C28063E3}"/>
                </c:ext>
              </c:extLst>
            </c:dLbl>
            <c:dLbl>
              <c:idx val="4"/>
              <c:layout>
                <c:manualLayout>
                  <c:x val="0"/>
                  <c:y val="-1.791713325867865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429-4A4C-9E1C-5951C28063E3}"/>
                </c:ext>
              </c:extLst>
            </c:dLbl>
            <c:dLbl>
              <c:idx val="5"/>
              <c:layout>
                <c:manualLayout>
                  <c:x val="3.1678986272439284E-3"/>
                  <c:y val="-1.34378499440089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429-4A4C-9E1C-5951C28063E3}"/>
                </c:ext>
              </c:extLst>
            </c:dLbl>
            <c:dLbl>
              <c:idx val="6"/>
              <c:layout>
                <c:manualLayout>
                  <c:x val="2.1119324181626186E-3"/>
                  <c:y val="-1.79171332586786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429-4A4C-9E1C-5951C28063E3}"/>
                </c:ext>
              </c:extLst>
            </c:dLbl>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DESARRO'!$D$3:$D$9</c:f>
              <c:numCache>
                <c:formatCode>0.0%</c:formatCode>
                <c:ptCount val="7"/>
                <c:pt idx="0">
                  <c:v>0.2014</c:v>
                </c:pt>
                <c:pt idx="1">
                  <c:v>0.25472941442069297</c:v>
                </c:pt>
                <c:pt idx="2">
                  <c:v>0.22389547133016827</c:v>
                </c:pt>
                <c:pt idx="3">
                  <c:v>0.23537004965661618</c:v>
                </c:pt>
                <c:pt idx="4">
                  <c:v>0.22160323916687383</c:v>
                </c:pt>
                <c:pt idx="5">
                  <c:v>0.21734598565460142</c:v>
                </c:pt>
                <c:pt idx="6">
                  <c:v>5.5588624338624326E-2</c:v>
                </c:pt>
              </c:numCache>
            </c:numRef>
          </c:val>
          <c:extLst>
            <c:ext xmlns:c16="http://schemas.microsoft.com/office/drawing/2014/chart" uri="{C3380CC4-5D6E-409C-BE32-E72D297353CC}">
              <c16:uniqueId val="{00000008-0429-4A4C-9E1C-5951C28063E3}"/>
            </c:ext>
          </c:extLst>
        </c:ser>
        <c:ser>
          <c:idx val="1"/>
          <c:order val="1"/>
          <c:tx>
            <c:strRef>
              <c:f>'SEGUIMIENTO DEL PLAN DE DESARRO'!$K$2</c:f>
              <c:strCache>
                <c:ptCount val="1"/>
                <c:pt idx="0">
                  <c:v>AVANCE ACUMULADO  CORTE  SEPTIEMBRE 15 DE 2025 RESPECTO AL CUATRIENIO</c:v>
                </c:pt>
              </c:strCache>
            </c:strRef>
          </c:tx>
          <c:spPr>
            <a:solidFill>
              <a:schemeClr val="accent2"/>
            </a:solidFill>
            <a:ln>
              <a:noFill/>
            </a:ln>
            <a:effectLst/>
            <a:sp3d/>
          </c:spPr>
          <c:invertIfNegative val="0"/>
          <c:dLbls>
            <c:dLbl>
              <c:idx val="0"/>
              <c:layout>
                <c:manualLayout>
                  <c:x val="1.5839493136219622E-2"/>
                  <c:y val="-1.56774916013438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429-4A4C-9E1C-5951C28063E3}"/>
                </c:ext>
              </c:extLst>
            </c:dLbl>
            <c:dLbl>
              <c:idx val="1"/>
              <c:layout>
                <c:manualLayout>
                  <c:x val="1.4783526927138293E-2"/>
                  <c:y val="-6.7189249720044789E-3"/>
                </c:manualLayout>
              </c:layout>
              <c:spPr>
                <a:noFill/>
                <a:ln>
                  <a:noFill/>
                </a:ln>
                <a:effectLst/>
              </c:spPr>
              <c:txPr>
                <a:bodyPr rot="0" spcFirstLastPara="1" vertOverflow="ellipsis" vert="horz" wrap="square" lIns="38100" tIns="19050" rIns="38100" bIns="19050" anchor="ctr" anchorCtr="1">
                  <a:no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3400211193241819E-2"/>
                      <c:h val="4.723404255319149E-2"/>
                    </c:manualLayout>
                  </c15:layout>
                </c:ext>
                <c:ext xmlns:c16="http://schemas.microsoft.com/office/drawing/2014/chart" uri="{C3380CC4-5D6E-409C-BE32-E72D297353CC}">
                  <c16:uniqueId val="{0000000B-0429-4A4C-9E1C-5951C28063E3}"/>
                </c:ext>
              </c:extLst>
            </c:dLbl>
            <c:dLbl>
              <c:idx val="2"/>
              <c:layout>
                <c:manualLayout>
                  <c:x val="4.0232454179704958E-3"/>
                  <c:y val="-2.0812685827552049E-2"/>
                </c:manualLayout>
              </c:layout>
              <c:spPr>
                <a:noFill/>
                <a:ln>
                  <a:noFill/>
                </a:ln>
                <a:effectLst/>
              </c:spPr>
              <c:txPr>
                <a:bodyPr rot="0" spcFirstLastPara="1" vertOverflow="ellipsis" vert="horz" wrap="square" lIns="38100" tIns="19050" rIns="38100" bIns="19050" anchor="ctr" anchorCtr="1">
                  <a:no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C-0429-4A4C-9E1C-5951C28063E3}"/>
                </c:ext>
              </c:extLst>
            </c:dLbl>
            <c:dLbl>
              <c:idx val="3"/>
              <c:layout>
                <c:manualLayout>
                  <c:x val="1.1615628299894404E-2"/>
                  <c:y val="-1.3437849944008958E-2"/>
                </c:manualLayout>
              </c:layout>
              <c:spPr>
                <a:noFill/>
                <a:ln>
                  <a:noFill/>
                </a:ln>
                <a:effectLst/>
              </c:spPr>
              <c:txPr>
                <a:bodyPr rot="0" spcFirstLastPara="1" vertOverflow="ellipsis" vert="horz" wrap="square" lIns="38100" tIns="19050" rIns="38100" bIns="19050" anchor="ctr" anchorCtr="1">
                  <a:no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4.0232312565997887E-2"/>
                      <c:h val="4.6114221724524083E-2"/>
                    </c:manualLayout>
                  </c15:layout>
                </c:ext>
                <c:ext xmlns:c16="http://schemas.microsoft.com/office/drawing/2014/chart" uri="{C3380CC4-5D6E-409C-BE32-E72D297353CC}">
                  <c16:uniqueId val="{0000000D-0429-4A4C-9E1C-5951C28063E3}"/>
                </c:ext>
              </c:extLst>
            </c:dLbl>
            <c:dLbl>
              <c:idx val="4"/>
              <c:layout>
                <c:manualLayout>
                  <c:x val="1.2671594508975714E-2"/>
                  <c:y val="-1.56774916013438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429-4A4C-9E1C-5951C28063E3}"/>
                </c:ext>
              </c:extLst>
            </c:dLbl>
            <c:dLbl>
              <c:idx val="5"/>
              <c:layout>
                <c:manualLayout>
                  <c:x val="8.4477296726503202E-3"/>
                  <c:y val="-2.46360582306831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429-4A4C-9E1C-5951C28063E3}"/>
                </c:ext>
              </c:extLst>
            </c:dLbl>
            <c:dLbl>
              <c:idx val="6"/>
              <c:layout>
                <c:manualLayout>
                  <c:x val="1.6895459345300949E-2"/>
                  <c:y val="-2.23964165733483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0429-4A4C-9E1C-5951C28063E3}"/>
                </c:ext>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DESARRO'!$K$3:$K$9</c:f>
              <c:numCache>
                <c:formatCode>0.0%</c:formatCode>
                <c:ptCount val="7"/>
                <c:pt idx="0" formatCode="0.00%">
                  <c:v>0.38419748559584826</c:v>
                </c:pt>
                <c:pt idx="1">
                  <c:v>0.40925072197022161</c:v>
                </c:pt>
                <c:pt idx="2">
                  <c:v>0.42235106158210151</c:v>
                </c:pt>
                <c:pt idx="3">
                  <c:v>0.39109264677080313</c:v>
                </c:pt>
                <c:pt idx="4">
                  <c:v>0.41935961281116779</c:v>
                </c:pt>
                <c:pt idx="5">
                  <c:v>0.43848933604926138</c:v>
                </c:pt>
                <c:pt idx="6">
                  <c:v>0.22464153439153436</c:v>
                </c:pt>
              </c:numCache>
            </c:numRef>
          </c:val>
          <c:extLst>
            <c:ext xmlns:c16="http://schemas.microsoft.com/office/drawing/2014/chart" uri="{C3380CC4-5D6E-409C-BE32-E72D297353CC}">
              <c16:uniqueId val="{00000011-0429-4A4C-9E1C-5951C28063E3}"/>
            </c:ext>
          </c:extLst>
        </c:ser>
        <c:dLbls>
          <c:showLegendKey val="0"/>
          <c:showVal val="0"/>
          <c:showCatName val="0"/>
          <c:showSerName val="0"/>
          <c:showPercent val="0"/>
          <c:showBubbleSize val="0"/>
        </c:dLbls>
        <c:gapWidth val="150"/>
        <c:shape val="box"/>
        <c:axId val="971336000"/>
        <c:axId val="971336416"/>
        <c:axId val="0"/>
      </c:bar3DChart>
      <c:catAx>
        <c:axId val="9713360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971336416"/>
        <c:crosses val="autoZero"/>
        <c:auto val="1"/>
        <c:lblAlgn val="ctr"/>
        <c:lblOffset val="100"/>
        <c:noMultiLvlLbl val="0"/>
      </c:catAx>
      <c:valAx>
        <c:axId val="9713364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O"/>
          </a:p>
        </c:txPr>
        <c:crossAx val="971336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r>
              <a:rPr lang="en-US" sz="3000" b="1"/>
              <a:t>LOGRO (%) RESPECTO AL PROGRAMADO PARA LA VIGENCIA 2025.</a:t>
            </a:r>
            <a:r>
              <a:rPr lang="en-US" sz="3000" b="1" baseline="0"/>
              <a:t> CORTE   15 DE SEPTIEMBRE</a:t>
            </a:r>
            <a:endParaRPr lang="en-US" sz="3000" b="1"/>
          </a:p>
        </c:rich>
      </c:tx>
      <c:layout/>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DESARRO'!$M$2</c:f>
              <c:strCache>
                <c:ptCount val="1"/>
                <c:pt idx="0">
                  <c:v>LOGRO (%) RESPECTO AL PROGRAMADO PARA LA VIGENCIA 2025 CORTE  SEPTIEMBRE </c:v>
                </c:pt>
              </c:strCache>
            </c:strRef>
          </c:tx>
          <c:spPr>
            <a:solidFill>
              <a:srgbClr val="92D050"/>
            </a:solidFill>
            <a:ln>
              <a:noFill/>
            </a:ln>
            <a:effectLst/>
            <a:sp3d/>
          </c:spPr>
          <c:invertIfNegative val="0"/>
          <c:dPt>
            <c:idx val="0"/>
            <c:invertIfNegative val="0"/>
            <c:bubble3D val="0"/>
            <c:spPr>
              <a:solidFill>
                <a:srgbClr val="92D050"/>
              </a:solidFill>
              <a:ln>
                <a:noFill/>
              </a:ln>
              <a:effectLst/>
              <a:sp3d/>
            </c:spPr>
            <c:extLst>
              <c:ext xmlns:c16="http://schemas.microsoft.com/office/drawing/2014/chart" uri="{C3380CC4-5D6E-409C-BE32-E72D297353CC}">
                <c16:uniqueId val="{00000001-E3AA-49A1-B44B-0EE209BF3D41}"/>
              </c:ext>
            </c:extLst>
          </c:dPt>
          <c:dPt>
            <c:idx val="3"/>
            <c:invertIfNegative val="0"/>
            <c:bubble3D val="0"/>
            <c:spPr>
              <a:solidFill>
                <a:srgbClr val="FFFF00"/>
              </a:solidFill>
              <a:ln>
                <a:noFill/>
              </a:ln>
              <a:effectLst/>
              <a:sp3d/>
            </c:spPr>
            <c:extLst>
              <c:ext xmlns:c16="http://schemas.microsoft.com/office/drawing/2014/chart" uri="{C3380CC4-5D6E-409C-BE32-E72D297353CC}">
                <c16:uniqueId val="{00000004-E3AA-49A1-B44B-0EE209BF3D41}"/>
              </c:ext>
            </c:extLst>
          </c:dPt>
          <c:dPt>
            <c:idx val="4"/>
            <c:invertIfNegative val="0"/>
            <c:bubble3D val="0"/>
            <c:spPr>
              <a:solidFill>
                <a:srgbClr val="92D050"/>
              </a:solidFill>
              <a:ln>
                <a:noFill/>
              </a:ln>
              <a:effectLst/>
              <a:sp3d/>
            </c:spPr>
            <c:extLst>
              <c:ext xmlns:c16="http://schemas.microsoft.com/office/drawing/2014/chart" uri="{C3380CC4-5D6E-409C-BE32-E72D297353CC}">
                <c16:uniqueId val="{00000005-E3AA-49A1-B44B-0EE209BF3D41}"/>
              </c:ext>
            </c:extLst>
          </c:dPt>
          <c:dPt>
            <c:idx val="5"/>
            <c:invertIfNegative val="0"/>
            <c:bubble3D val="0"/>
            <c:spPr>
              <a:solidFill>
                <a:srgbClr val="92D050"/>
              </a:solidFill>
              <a:ln>
                <a:noFill/>
              </a:ln>
              <a:effectLst/>
              <a:sp3d/>
            </c:spPr>
            <c:extLst>
              <c:ext xmlns:c16="http://schemas.microsoft.com/office/drawing/2014/chart" uri="{C3380CC4-5D6E-409C-BE32-E72D297353CC}">
                <c16:uniqueId val="{00000006-E3AA-49A1-B44B-0EE209BF3D41}"/>
              </c:ext>
            </c:extLst>
          </c:dPt>
          <c:dPt>
            <c:idx val="6"/>
            <c:invertIfNegative val="0"/>
            <c:bubble3D val="0"/>
            <c:spPr>
              <a:solidFill>
                <a:srgbClr val="92D050"/>
              </a:solidFill>
              <a:ln>
                <a:noFill/>
              </a:ln>
              <a:effectLst/>
              <a:sp3d/>
            </c:spPr>
            <c:extLst>
              <c:ext xmlns:c16="http://schemas.microsoft.com/office/drawing/2014/chart" uri="{C3380CC4-5D6E-409C-BE32-E72D297353CC}">
                <c16:uniqueId val="{00000007-E3AA-49A1-B44B-0EE209BF3D41}"/>
              </c:ext>
            </c:extLst>
          </c:dPt>
          <c:dLbls>
            <c:dLbl>
              <c:idx val="0"/>
              <c:layout>
                <c:manualLayout>
                  <c:x val="1.2033694344163659E-2"/>
                  <c:y val="-1.56250000000000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3AA-49A1-B44B-0EE209BF3D41}"/>
                </c:ext>
              </c:extLst>
            </c:dLbl>
            <c:dLbl>
              <c:idx val="1"/>
              <c:layout>
                <c:manualLayout>
                  <c:x val="1.5643802647412757E-2"/>
                  <c:y val="-2.008928571428571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3AA-49A1-B44B-0EE209BF3D41}"/>
                </c:ext>
              </c:extLst>
            </c:dLbl>
            <c:dLbl>
              <c:idx val="2"/>
              <c:layout>
                <c:manualLayout>
                  <c:x val="2.1660649819494584E-2"/>
                  <c:y val="-2.90178571428571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3AA-49A1-B44B-0EE209BF3D41}"/>
                </c:ext>
              </c:extLst>
            </c:dLbl>
            <c:dLbl>
              <c:idx val="3"/>
              <c:layout>
                <c:manualLayout>
                  <c:x val="9.433962264150943E-3"/>
                  <c:y val="-3.34821428571428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3AA-49A1-B44B-0EE209BF3D41}"/>
                </c:ext>
              </c:extLst>
            </c:dLbl>
            <c:dLbl>
              <c:idx val="4"/>
              <c:layout>
                <c:manualLayout>
                  <c:x val="1.6509433962264151E-2"/>
                  <c:y val="-1.78571428571428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3AA-49A1-B44B-0EE209BF3D41}"/>
                </c:ext>
              </c:extLst>
            </c:dLbl>
            <c:dLbl>
              <c:idx val="5"/>
              <c:layout>
                <c:manualLayout>
                  <c:x val="9.433962264150943E-3"/>
                  <c:y val="-8.928571428571428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3AA-49A1-B44B-0EE209BF3D41}"/>
                </c:ext>
              </c:extLst>
            </c:dLbl>
            <c:dLbl>
              <c:idx val="6"/>
              <c:layout>
                <c:manualLayout>
                  <c:x val="1.179245283018868E-2"/>
                  <c:y val="-1.78571428571429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3AA-49A1-B44B-0EE209BF3D41}"/>
                </c:ext>
              </c:extLst>
            </c:dLbl>
            <c:spPr>
              <a:noFill/>
              <a:ln>
                <a:noFill/>
              </a:ln>
              <a:effectLst/>
            </c:spPr>
            <c:txPr>
              <a:bodyPr rot="0" spcFirstLastPara="1" vertOverflow="ellipsis" vert="horz" wrap="square" lIns="38100" tIns="19050" rIns="38100" bIns="19050" anchor="ctr" anchorCtr="1">
                <a:spAutoFit/>
              </a:bodyPr>
              <a:lstStyle/>
              <a:p>
                <a:pPr>
                  <a:defRPr sz="3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DESARRO'!$M$3:$M$9</c:f>
              <c:numCache>
                <c:formatCode>0.0%</c:formatCode>
                <c:ptCount val="7"/>
                <c:pt idx="0">
                  <c:v>0.61053809185039687</c:v>
                </c:pt>
                <c:pt idx="1">
                  <c:v>0.60078987989606447</c:v>
                </c:pt>
                <c:pt idx="2">
                  <c:v>0.601365659411503</c:v>
                </c:pt>
                <c:pt idx="3">
                  <c:v>0.55594684768286784</c:v>
                </c:pt>
                <c:pt idx="4">
                  <c:v>0.67422125170163039</c:v>
                </c:pt>
                <c:pt idx="5">
                  <c:v>0.6498863938917967</c:v>
                </c:pt>
                <c:pt idx="6">
                  <c:v>0.58101851851851849</c:v>
                </c:pt>
              </c:numCache>
            </c:numRef>
          </c:val>
          <c:extLst>
            <c:ext xmlns:c16="http://schemas.microsoft.com/office/drawing/2014/chart" uri="{C3380CC4-5D6E-409C-BE32-E72D297353CC}">
              <c16:uniqueId val="{00000000-E3AA-49A1-B44B-0EE209BF3D41}"/>
            </c:ext>
          </c:extLst>
        </c:ser>
        <c:dLbls>
          <c:showLegendKey val="0"/>
          <c:showVal val="0"/>
          <c:showCatName val="0"/>
          <c:showSerName val="0"/>
          <c:showPercent val="0"/>
          <c:showBubbleSize val="0"/>
        </c:dLbls>
        <c:gapWidth val="150"/>
        <c:shape val="box"/>
        <c:axId val="862079136"/>
        <c:axId val="862080384"/>
        <c:axId val="0"/>
      </c:bar3DChart>
      <c:catAx>
        <c:axId val="862079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500" b="0" i="0" u="none" strike="noStrike" kern="1200" baseline="0">
                <a:solidFill>
                  <a:schemeClr val="tx1">
                    <a:lumMod val="65000"/>
                    <a:lumOff val="35000"/>
                  </a:schemeClr>
                </a:solidFill>
                <a:latin typeface="+mn-lt"/>
                <a:ea typeface="+mn-ea"/>
                <a:cs typeface="+mn-cs"/>
              </a:defRPr>
            </a:pPr>
            <a:endParaRPr lang="es-CO"/>
          </a:p>
        </c:txPr>
        <c:crossAx val="862080384"/>
        <c:crosses val="autoZero"/>
        <c:auto val="1"/>
        <c:lblAlgn val="ctr"/>
        <c:lblOffset val="100"/>
        <c:noMultiLvlLbl val="0"/>
      </c:catAx>
      <c:valAx>
        <c:axId val="86208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862079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r>
              <a:rPr lang="en-US"/>
              <a:t>LOGRO ALCANZADO  RESPECTO AL CUATRIENIO (PONDERADOR) 2025. CORTE</a:t>
            </a:r>
            <a:r>
              <a:rPr lang="en-US" baseline="0"/>
              <a:t>  15 DE SEPTIEMBRE</a:t>
            </a:r>
            <a:endParaRPr lang="en-US"/>
          </a:p>
        </c:rich>
      </c:tx>
      <c:layout/>
      <c:overlay val="0"/>
      <c:spPr>
        <a:noFill/>
        <a:ln>
          <a:noFill/>
        </a:ln>
        <a:effectLst/>
      </c:spPr>
      <c:txPr>
        <a:bodyPr rot="0" spcFirstLastPara="1" vertOverflow="ellipsis" vert="horz" wrap="square" anchor="ctr" anchorCtr="1"/>
        <a:lstStyle/>
        <a:p>
          <a:pPr>
            <a:defRPr sz="300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'SEGUIMIENTO DEL PLAN DE DESARRO'!$R$2</c:f>
              <c:strCache>
                <c:ptCount val="1"/>
                <c:pt idx="0">
                  <c:v>LOGRO  (%) META PRODUCTO RESPECTO AL PROGRAMADO CUATRIENIO PARCIAL SEPTIEMBRE 15 DE 2025 (PONDERADOR)</c:v>
                </c:pt>
              </c:strCache>
            </c:strRef>
          </c:tx>
          <c:spPr>
            <a:solidFill>
              <a:schemeClr val="accent1"/>
            </a:solidFill>
            <a:ln>
              <a:noFill/>
            </a:ln>
            <a:effectLst/>
            <a:sp3d/>
          </c:spPr>
          <c:invertIfNegative val="0"/>
          <c:dLbls>
            <c:dLbl>
              <c:idx val="0"/>
              <c:layout>
                <c:manualLayout>
                  <c:x val="1.1661807580174927E-2"/>
                  <c:y val="-2.6420079260237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E3D-42AD-94E5-CA62C659DC6D}"/>
                </c:ext>
              </c:extLst>
            </c:dLbl>
            <c:dLbl>
              <c:idx val="1"/>
              <c:layout>
                <c:manualLayout>
                  <c:x val="1.020408163265306E-2"/>
                  <c:y val="-2.37780713342140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E3D-42AD-94E5-CA62C659DC6D}"/>
                </c:ext>
              </c:extLst>
            </c:dLbl>
            <c:dLbl>
              <c:idx val="2"/>
              <c:layout>
                <c:manualLayout>
                  <c:x val="1.1661807580174927E-2"/>
                  <c:y val="-1.05680317040951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E3D-42AD-94E5-CA62C659DC6D}"/>
                </c:ext>
              </c:extLst>
            </c:dLbl>
            <c:dLbl>
              <c:idx val="3"/>
              <c:layout>
                <c:manualLayout>
                  <c:x val="1.1661807580174927E-2"/>
                  <c:y val="-2.37780713342140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E3D-42AD-94E5-CA62C659DC6D}"/>
                </c:ext>
              </c:extLst>
            </c:dLbl>
            <c:dLbl>
              <c:idx val="4"/>
              <c:layout>
                <c:manualLayout>
                  <c:x val="8.7463556851311956E-3"/>
                  <c:y val="-2.11360634081902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E3D-42AD-94E5-CA62C659DC6D}"/>
                </c:ext>
              </c:extLst>
            </c:dLbl>
            <c:dLbl>
              <c:idx val="5"/>
              <c:layout>
                <c:manualLayout>
                  <c:x val="2.7696793002915453E-2"/>
                  <c:y val="-2.11360634081902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E3D-42AD-94E5-CA62C659DC6D}"/>
                </c:ext>
              </c:extLst>
            </c:dLbl>
            <c:dLbl>
              <c:idx val="6"/>
              <c:layout>
                <c:manualLayout>
                  <c:x val="1.8950437317784258E-2"/>
                  <c:y val="-2.64200792602377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E3D-42AD-94E5-CA62C659DC6D}"/>
                </c:ext>
              </c:extLst>
            </c:dLbl>
            <c:spPr>
              <a:noFill/>
              <a:ln>
                <a:noFill/>
              </a:ln>
              <a:effectLst/>
            </c:spPr>
            <c:txPr>
              <a:bodyPr rot="0" spcFirstLastPara="1" vertOverflow="ellipsis" vert="horz" wrap="square" lIns="38100" tIns="19050" rIns="38100" bIns="19050" anchor="ctr" anchorCtr="1">
                <a:spAutoFit/>
              </a:bodyPr>
              <a:lstStyle/>
              <a:p>
                <a:pPr>
                  <a:defRPr sz="4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 DEL PLAN DE DESARRO'!$B$3:$B$9</c:f>
              <c:strCache>
                <c:ptCount val="7"/>
                <c:pt idx="0">
                  <c:v>PLAN DE DESARROLLO CARTAGENA CIUDAD DE DERECHOS 2024 - 2027</c:v>
                </c:pt>
                <c:pt idx="1">
                  <c:v> SEGURIDAD HUMANA
</c:v>
                </c:pt>
                <c:pt idx="2">
                  <c:v> VIDA DIGNA
</c:v>
                </c:pt>
                <c:pt idx="3">
                  <c:v> DESARROLLO ECONÓMICO EQUITATIVO
</c:v>
                </c:pt>
                <c:pt idx="4">
                  <c:v>CARTAGENA CIUDAD CONECTADA Y SOSTENIBLE
</c:v>
                </c:pt>
                <c:pt idx="5">
                  <c:v> INNOVACIÓN PÚBLICA Y PARTICIPACIÓN CIUDADANA
</c:v>
                </c:pt>
                <c:pt idx="6">
                  <c:v>CAPÍTULO DE LOS PUEBLOS Y COMUNIDADES ÉTNICAS
</c:v>
                </c:pt>
              </c:strCache>
            </c:strRef>
          </c:cat>
          <c:val>
            <c:numRef>
              <c:f>'SEGUIMIENTO DEL PLAN DE DESARRO'!$R$3:$R$9</c:f>
              <c:numCache>
                <c:formatCode>0.0%</c:formatCode>
                <c:ptCount val="7"/>
                <c:pt idx="0">
                  <c:v>0.36713259803481907</c:v>
                </c:pt>
                <c:pt idx="1">
                  <c:v>0.3816161125871384</c:v>
                </c:pt>
                <c:pt idx="2">
                  <c:v>0.39733460395963061</c:v>
                </c:pt>
                <c:pt idx="3">
                  <c:v>0.3787544841412066</c:v>
                </c:pt>
                <c:pt idx="4">
                  <c:v>0.32435261166966489</c:v>
                </c:pt>
                <c:pt idx="5">
                  <c:v>0.3953194428519276</c:v>
                </c:pt>
                <c:pt idx="6">
                  <c:v>0.18269812500000002</c:v>
                </c:pt>
              </c:numCache>
            </c:numRef>
          </c:val>
          <c:extLst>
            <c:ext xmlns:c16="http://schemas.microsoft.com/office/drawing/2014/chart" uri="{C3380CC4-5D6E-409C-BE32-E72D297353CC}">
              <c16:uniqueId val="{00000000-EE3D-42AD-94E5-CA62C659DC6D}"/>
            </c:ext>
          </c:extLst>
        </c:ser>
        <c:dLbls>
          <c:showLegendKey val="0"/>
          <c:showVal val="0"/>
          <c:showCatName val="0"/>
          <c:showSerName val="0"/>
          <c:showPercent val="0"/>
          <c:showBubbleSize val="0"/>
        </c:dLbls>
        <c:gapWidth val="150"/>
        <c:shape val="box"/>
        <c:axId val="2063392575"/>
        <c:axId val="2063397983"/>
        <c:axId val="0"/>
      </c:bar3DChart>
      <c:catAx>
        <c:axId val="206339257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s-CO"/>
          </a:p>
        </c:txPr>
        <c:crossAx val="2063397983"/>
        <c:crosses val="autoZero"/>
        <c:auto val="1"/>
        <c:lblAlgn val="ctr"/>
        <c:lblOffset val="100"/>
        <c:noMultiLvlLbl val="0"/>
      </c:catAx>
      <c:valAx>
        <c:axId val="20633979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CO"/>
          </a:p>
        </c:txPr>
        <c:crossAx val="2063392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438150</xdr:colOff>
      <xdr:row>9</xdr:row>
      <xdr:rowOff>682625</xdr:rowOff>
    </xdr:from>
    <xdr:to>
      <xdr:col>23</xdr:col>
      <xdr:colOff>323850</xdr:colOff>
      <xdr:row>62</xdr:row>
      <xdr:rowOff>50800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4495800</xdr:colOff>
      <xdr:row>9</xdr:row>
      <xdr:rowOff>774700</xdr:rowOff>
    </xdr:from>
    <xdr:to>
      <xdr:col>12</xdr:col>
      <xdr:colOff>2438400</xdr:colOff>
      <xdr:row>63</xdr:row>
      <xdr:rowOff>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3505200</xdr:colOff>
      <xdr:row>67</xdr:row>
      <xdr:rowOff>63500</xdr:rowOff>
    </xdr:from>
    <xdr:to>
      <xdr:col>12</xdr:col>
      <xdr:colOff>2997200</xdr:colOff>
      <xdr:row>134</xdr:row>
      <xdr:rowOff>114300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736600</xdr:colOff>
      <xdr:row>66</xdr:row>
      <xdr:rowOff>127000</xdr:rowOff>
    </xdr:from>
    <xdr:to>
      <xdr:col>24</xdr:col>
      <xdr:colOff>812800</xdr:colOff>
      <xdr:row>122</xdr:row>
      <xdr:rowOff>127000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1447800</xdr:colOff>
      <xdr:row>4</xdr:row>
      <xdr:rowOff>742950</xdr:rowOff>
    </xdr:from>
    <xdr:to>
      <xdr:col>55</xdr:col>
      <xdr:colOff>0</xdr:colOff>
      <xdr:row>36</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1"/>
  <sheetViews>
    <sheetView zoomScale="30" zoomScaleNormal="30" workbookViewId="0">
      <pane xSplit="3" ySplit="2" topLeftCell="M3" activePane="bottomRight" state="frozen"/>
      <selection activeCell="K14" sqref="K14"/>
      <selection pane="topRight" activeCell="K14" sqref="K14"/>
      <selection pane="bottomLeft" activeCell="K14" sqref="K14"/>
      <selection pane="bottomRight" activeCell="T114" sqref="T114"/>
    </sheetView>
  </sheetViews>
  <sheetFormatPr baseColWidth="10" defaultColWidth="14.44140625" defaultRowHeight="15" customHeight="1" x14ac:dyDescent="0.4"/>
  <cols>
    <col min="1" max="1" width="3.5546875" style="109" customWidth="1"/>
    <col min="2" max="2" width="59.88671875" style="260" customWidth="1"/>
    <col min="3" max="3" width="72.44140625" style="260" customWidth="1"/>
    <col min="4" max="4" width="57.44140625" style="109" customWidth="1"/>
    <col min="5" max="5" width="24.77734375" style="260" hidden="1" customWidth="1"/>
    <col min="6" max="6" width="28.5546875" style="260" customWidth="1"/>
    <col min="7" max="8" width="35.88671875" style="260" customWidth="1"/>
    <col min="9" max="9" width="37.33203125" style="260" customWidth="1"/>
    <col min="10" max="10" width="38.88671875" style="260" customWidth="1"/>
    <col min="11" max="11" width="36.6640625" style="260" hidden="1" customWidth="1"/>
    <col min="12" max="12" width="43.33203125" style="260" hidden="1" customWidth="1"/>
    <col min="13" max="13" width="42.33203125" style="260" customWidth="1"/>
    <col min="14" max="14" width="33.6640625" style="260" customWidth="1"/>
    <col min="15" max="15" width="35.5546875" style="260" customWidth="1"/>
    <col min="16" max="16" width="44.109375" style="260" customWidth="1"/>
    <col min="17" max="17" width="34.77734375" style="260" customWidth="1"/>
    <col min="18" max="18" width="29.33203125" style="260" customWidth="1"/>
    <col min="19" max="19" width="42.21875" style="260" customWidth="1"/>
    <col min="20" max="20" width="42.5546875" style="260" customWidth="1"/>
    <col min="21" max="21" width="42.6640625" style="260" customWidth="1"/>
    <col min="22" max="22" width="38.5546875" style="260" customWidth="1"/>
    <col min="23" max="23" width="41.88671875" style="260" customWidth="1"/>
    <col min="24" max="24" width="46" style="260" customWidth="1"/>
    <col min="25" max="25" width="42.33203125" style="260" customWidth="1"/>
    <col min="26" max="26" width="45.5546875" style="260" customWidth="1"/>
    <col min="27" max="27" width="39.44140625" style="260" customWidth="1"/>
    <col min="28" max="28" width="54.88671875" style="224" hidden="1" customWidth="1"/>
    <col min="29" max="29" width="71.33203125" style="109" hidden="1" customWidth="1"/>
    <col min="30" max="30" width="57.77734375" style="109" hidden="1" customWidth="1"/>
    <col min="31" max="31" width="26.33203125" style="109" customWidth="1"/>
    <col min="32" max="32" width="31.44140625" style="109" customWidth="1"/>
    <col min="33" max="39" width="10.6640625" style="109" customWidth="1"/>
    <col min="40" max="16384" width="14.44140625" style="109"/>
  </cols>
  <sheetData>
    <row r="1" spans="1:32" ht="21" customHeight="1" thickBot="1" x14ac:dyDescent="0.45">
      <c r="A1" s="381"/>
      <c r="B1" s="258"/>
      <c r="C1" s="258"/>
      <c r="D1" s="382"/>
      <c r="E1" s="399"/>
      <c r="F1" s="399"/>
      <c r="G1" s="258"/>
      <c r="H1" s="258"/>
      <c r="I1" s="258"/>
      <c r="J1" s="258"/>
      <c r="K1" s="258"/>
      <c r="L1" s="258"/>
      <c r="M1" s="400"/>
      <c r="N1" s="400"/>
      <c r="O1" s="400"/>
      <c r="P1" s="400"/>
      <c r="Q1" s="400"/>
      <c r="R1" s="400"/>
      <c r="S1" s="400"/>
      <c r="T1" s="477"/>
      <c r="U1" s="477"/>
      <c r="V1" s="258"/>
      <c r="W1" s="258"/>
      <c r="X1" s="258"/>
      <c r="Y1" s="496"/>
      <c r="Z1" s="496"/>
      <c r="AA1" s="606"/>
      <c r="AB1" s="383"/>
      <c r="AC1" s="384"/>
      <c r="AD1" s="107"/>
      <c r="AE1" s="106"/>
      <c r="AF1" s="106"/>
    </row>
    <row r="2" spans="1:32" ht="223.2" customHeight="1" thickBot="1" x14ac:dyDescent="0.45">
      <c r="A2" s="110"/>
      <c r="B2" s="940" t="s">
        <v>0</v>
      </c>
      <c r="C2" s="941"/>
      <c r="D2" s="385" t="s">
        <v>1</v>
      </c>
      <c r="E2" s="401" t="s">
        <v>2</v>
      </c>
      <c r="F2" s="401" t="s">
        <v>3</v>
      </c>
      <c r="G2" s="401" t="s">
        <v>4</v>
      </c>
      <c r="H2" s="401" t="s">
        <v>1783</v>
      </c>
      <c r="I2" s="401" t="s">
        <v>5</v>
      </c>
      <c r="J2" s="401" t="s">
        <v>1784</v>
      </c>
      <c r="K2" s="402" t="s">
        <v>6</v>
      </c>
      <c r="L2" s="889" t="s">
        <v>1785</v>
      </c>
      <c r="M2" s="403" t="s">
        <v>1772</v>
      </c>
      <c r="N2" s="403" t="s">
        <v>1786</v>
      </c>
      <c r="O2" s="403" t="s">
        <v>1789</v>
      </c>
      <c r="P2" s="403" t="s">
        <v>1896</v>
      </c>
      <c r="Q2" s="403" t="s">
        <v>1787</v>
      </c>
      <c r="R2" s="403" t="s">
        <v>1790</v>
      </c>
      <c r="S2" s="403" t="s">
        <v>1791</v>
      </c>
      <c r="T2" s="478" t="s">
        <v>7</v>
      </c>
      <c r="U2" s="890" t="s">
        <v>1879</v>
      </c>
      <c r="V2" s="402" t="s">
        <v>8</v>
      </c>
      <c r="W2" s="402" t="s">
        <v>1880</v>
      </c>
      <c r="X2" s="401" t="s">
        <v>1793</v>
      </c>
      <c r="Y2" s="401" t="s">
        <v>1881</v>
      </c>
      <c r="Z2" s="607" t="s">
        <v>1774</v>
      </c>
      <c r="AA2" s="891" t="s">
        <v>1882</v>
      </c>
      <c r="AB2" s="608" t="s">
        <v>1792</v>
      </c>
      <c r="AC2" s="257" t="s">
        <v>1794</v>
      </c>
      <c r="AD2" s="257" t="s">
        <v>1865</v>
      </c>
      <c r="AE2" s="106"/>
      <c r="AF2" s="106"/>
    </row>
    <row r="3" spans="1:32" ht="96.6" customHeight="1" thickBot="1" x14ac:dyDescent="0.45">
      <c r="A3" s="233"/>
      <c r="B3" s="942" t="s">
        <v>1521</v>
      </c>
      <c r="C3" s="943"/>
      <c r="D3" s="386"/>
      <c r="E3" s="404">
        <v>0.3</v>
      </c>
      <c r="F3" s="405"/>
      <c r="G3" s="406"/>
      <c r="H3" s="406"/>
      <c r="I3" s="407">
        <f>+(I4+I31+I91+I130+I171)/5</f>
        <v>0.27144914611233045</v>
      </c>
      <c r="J3" s="407">
        <f>+(J4+J31+J91+J130+J171)/5</f>
        <v>0.37391117816579211</v>
      </c>
      <c r="K3" s="408">
        <f>+(K4+K31+K91+K130+K171)/5</f>
        <v>0.1963447624265218</v>
      </c>
      <c r="L3" s="408">
        <f>+(L4+L31+L91+L130+L171)/5</f>
        <v>0.2531166550657612</v>
      </c>
      <c r="M3" s="409"/>
      <c r="N3" s="409"/>
      <c r="O3" s="409"/>
      <c r="P3" s="409"/>
      <c r="Q3" s="409"/>
      <c r="R3" s="409"/>
      <c r="S3" s="409"/>
      <c r="T3" s="748">
        <f>+(T4+T31+T91+T130+T171)/5</f>
        <v>0.84423613286457644</v>
      </c>
      <c r="U3" s="748">
        <f>+(U4+U31+U91+U130+U171)/5</f>
        <v>0.60078987989606447</v>
      </c>
      <c r="V3" s="749">
        <f>+F4+F31+F91+F130+F171</f>
        <v>0.66052564143691994</v>
      </c>
      <c r="W3" s="750">
        <f>+H4+H31+H91+H130+H171</f>
        <v>0.47930499176736463</v>
      </c>
      <c r="X3" s="751">
        <f>+(X4+X31+X91+X130+X171)/5</f>
        <v>0.25488092957220809</v>
      </c>
      <c r="Y3" s="828">
        <f>+(Y4+Y31+Y91+Y130+Y171)/5</f>
        <v>0.40925072197022161</v>
      </c>
      <c r="Z3" s="752">
        <f>+(Z4+Z31+Z91+Z130+Z171)/5</f>
        <v>0.21296825159703686</v>
      </c>
      <c r="AA3" s="760">
        <f>+(AA4*E4)+(AA31*E31)+(AA91*E91)+(AA130*E130)+(AA171*E171)</f>
        <v>0.3816161125871384</v>
      </c>
      <c r="AB3" s="609"/>
      <c r="AC3" s="386"/>
      <c r="AD3" s="386"/>
      <c r="AE3" s="106"/>
      <c r="AF3" s="106"/>
    </row>
    <row r="4" spans="1:32" ht="64.5" customHeight="1" thickBot="1" x14ac:dyDescent="0.45">
      <c r="A4" s="233"/>
      <c r="B4" s="944" t="s">
        <v>9</v>
      </c>
      <c r="C4" s="945"/>
      <c r="D4" s="387"/>
      <c r="E4" s="410">
        <v>0.25</v>
      </c>
      <c r="F4" s="411">
        <f>+E4*V4</f>
        <v>0.13864386792452829</v>
      </c>
      <c r="G4" s="406"/>
      <c r="H4" s="747">
        <f>E4*W4</f>
        <v>0.10212352814705855</v>
      </c>
      <c r="I4" s="412">
        <f>+(I5+I12+I16+I23+I26)/5</f>
        <v>0.40844696306703598</v>
      </c>
      <c r="J4" s="412">
        <f>+(J5+J12+J16+J23+J26)/5</f>
        <v>0.48443538520711044</v>
      </c>
      <c r="K4" s="413">
        <f>+(K5+K12+K16+K23+K26)/5</f>
        <v>0.35458117744760276</v>
      </c>
      <c r="L4" s="413">
        <f>+(L5+L12+L16+L23+L26)/5</f>
        <v>0.27871913155614692</v>
      </c>
      <c r="M4" s="414"/>
      <c r="N4" s="414"/>
      <c r="O4" s="479"/>
      <c r="P4" s="479"/>
      <c r="Q4" s="479"/>
      <c r="R4" s="479"/>
      <c r="S4" s="479"/>
      <c r="T4" s="412">
        <f>+(T5+T12+T16+T23+T26)/5</f>
        <v>0.82393081761006282</v>
      </c>
      <c r="U4" s="412">
        <f>+(U5+U12+U16+U23+U26)/5</f>
        <v>0.59054246092300278</v>
      </c>
      <c r="V4" s="413">
        <f>+V5+V12+V16+V23+V26</f>
        <v>0.55457547169811316</v>
      </c>
      <c r="W4" s="497">
        <f>+W5+W12+W16+W23+W26</f>
        <v>0.4084941125882342</v>
      </c>
      <c r="X4" s="498">
        <f>+(X5+X12+X16+X23+X26)/5</f>
        <v>0.40033301822466277</v>
      </c>
      <c r="Y4" s="498">
        <f>+(Y5+Y12+Y16+Y23+Y26)/5</f>
        <v>0.57381929700987555</v>
      </c>
      <c r="Z4" s="497">
        <f>+Z5+Z12+Z16+Z23+Z26</f>
        <v>0.34369348640612268</v>
      </c>
      <c r="AA4" s="615">
        <f>+(AA5*E5)+(AA12*E12)+(AA16*E16)+(AA23*E23)+(AA26*E26)</f>
        <v>0.49436346921130442</v>
      </c>
      <c r="AB4" s="124"/>
      <c r="AC4" s="388"/>
      <c r="AD4" s="388"/>
      <c r="AE4" s="106"/>
      <c r="AF4" s="106"/>
    </row>
    <row r="5" spans="1:32" ht="123.6" customHeight="1" thickBot="1" x14ac:dyDescent="0.4">
      <c r="A5" s="233"/>
      <c r="B5" s="395" t="s">
        <v>1522</v>
      </c>
      <c r="C5" s="396"/>
      <c r="D5" s="389"/>
      <c r="E5" s="415">
        <v>0.35</v>
      </c>
      <c r="F5" s="416"/>
      <c r="G5" s="416"/>
      <c r="H5" s="416"/>
      <c r="I5" s="417">
        <f>+AVERAGE(I6:I11)</f>
        <v>0.37666666666666665</v>
      </c>
      <c r="J5" s="417">
        <f>+AVERAGE(J6:J11)</f>
        <v>0.38750000000000001</v>
      </c>
      <c r="K5" s="417">
        <f>+K6+K7+K8+K9+K10+K11</f>
        <v>0.26083333333333331</v>
      </c>
      <c r="L5" s="417">
        <f>+L6+L7+L8+L9+L10+L11</f>
        <v>0.17749999999999999</v>
      </c>
      <c r="M5" s="418"/>
      <c r="N5" s="424"/>
      <c r="O5" s="424"/>
      <c r="P5" s="424"/>
      <c r="Q5" s="424"/>
      <c r="R5" s="424"/>
      <c r="S5" s="424"/>
      <c r="T5" s="483">
        <f>+AVERAGE(T6:T11)</f>
        <v>0.6</v>
      </c>
      <c r="U5" s="483">
        <f>+AVERAGE(U6:U11)</f>
        <v>0.6</v>
      </c>
      <c r="V5" s="483">
        <f>+(V6+V7+V8+V9+V10+V11)*E5</f>
        <v>0.17499999999999999</v>
      </c>
      <c r="W5" s="483">
        <f>+(W6+W7+W8+W9+W10+W11)*E5</f>
        <v>0.15049999999999999</v>
      </c>
      <c r="X5" s="499">
        <f>+AVERAGE(X6:X11)</f>
        <v>0.3</v>
      </c>
      <c r="Y5" s="499">
        <f>+AVERAGE(Y6:Y11)</f>
        <v>0.38</v>
      </c>
      <c r="Z5" s="438">
        <f>+(Z6+Z7+Z8+Z9+Z10+Z11)*E5</f>
        <v>0.109375</v>
      </c>
      <c r="AA5" s="499">
        <f>+(AA6+AA7+AA8+AA9+AA10+AA11)</f>
        <v>0.36000000000000004</v>
      </c>
      <c r="AB5" s="132"/>
      <c r="AC5" s="892" t="s">
        <v>1858</v>
      </c>
      <c r="AD5" s="388"/>
      <c r="AE5" s="106"/>
      <c r="AF5" s="106"/>
    </row>
    <row r="6" spans="1:32" ht="101.4" customHeight="1" thickBot="1" x14ac:dyDescent="0.4">
      <c r="A6" s="233"/>
      <c r="B6" s="893" t="s">
        <v>10</v>
      </c>
      <c r="C6" s="893" t="s">
        <v>11</v>
      </c>
      <c r="D6" s="390" t="s">
        <v>1508</v>
      </c>
      <c r="E6" s="286">
        <v>0.25</v>
      </c>
      <c r="F6" s="419">
        <v>3</v>
      </c>
      <c r="G6" s="420">
        <v>1</v>
      </c>
      <c r="H6" s="421"/>
      <c r="I6" s="422">
        <f>+G6/F6</f>
        <v>0.33333333333333331</v>
      </c>
      <c r="J6" s="422"/>
      <c r="K6" s="422">
        <f>+(G6/F6)*E6</f>
        <v>8.3333333333333329E-2</v>
      </c>
      <c r="L6" s="422"/>
      <c r="M6" s="420">
        <v>3</v>
      </c>
      <c r="N6" s="481">
        <v>0</v>
      </c>
      <c r="O6" s="481"/>
      <c r="P6" s="481"/>
      <c r="Q6" s="421"/>
      <c r="R6" s="482">
        <f>+N6+O6+P6+Q6</f>
        <v>0</v>
      </c>
      <c r="S6" s="421">
        <f>+R6+M6</f>
        <v>3</v>
      </c>
      <c r="T6" s="422">
        <v>1</v>
      </c>
      <c r="U6" s="878"/>
      <c r="V6" s="879">
        <f>+T6*E6</f>
        <v>0.25</v>
      </c>
      <c r="W6" s="880"/>
      <c r="X6" s="881">
        <f>+M6/F6</f>
        <v>1</v>
      </c>
      <c r="Y6" s="881">
        <f>+S6/F6</f>
        <v>1</v>
      </c>
      <c r="Z6" s="442">
        <f>+X6*E6</f>
        <v>0.25</v>
      </c>
      <c r="AA6" s="443">
        <f>+Y6*E6</f>
        <v>0.25</v>
      </c>
      <c r="AB6" s="139" t="s">
        <v>1520</v>
      </c>
      <c r="AC6" s="698" t="s">
        <v>1840</v>
      </c>
      <c r="AD6" s="587" t="s">
        <v>1860</v>
      </c>
      <c r="AE6" s="106"/>
      <c r="AF6" s="106"/>
    </row>
    <row r="7" spans="1:32" ht="125.4" customHeight="1" thickBot="1" x14ac:dyDescent="0.4">
      <c r="A7" s="391"/>
      <c r="B7" s="893" t="s">
        <v>13</v>
      </c>
      <c r="C7" s="893" t="s">
        <v>14</v>
      </c>
      <c r="D7" s="390" t="s">
        <v>1510</v>
      </c>
      <c r="E7" s="286">
        <v>0.05</v>
      </c>
      <c r="F7" s="419">
        <v>4</v>
      </c>
      <c r="G7" s="420">
        <v>1</v>
      </c>
      <c r="H7" s="421">
        <v>1</v>
      </c>
      <c r="I7" s="422">
        <f>+G7/F7</f>
        <v>0.25</v>
      </c>
      <c r="J7" s="422">
        <f>+H7/F7</f>
        <v>0.25</v>
      </c>
      <c r="K7" s="422">
        <f>+(G7/F7)*E7</f>
        <v>1.2500000000000001E-2</v>
      </c>
      <c r="L7" s="422">
        <f>+(H7/F7)*E7</f>
        <v>1.2500000000000001E-2</v>
      </c>
      <c r="M7" s="420">
        <v>1</v>
      </c>
      <c r="N7" s="481">
        <v>1</v>
      </c>
      <c r="O7" s="481">
        <v>0</v>
      </c>
      <c r="P7" s="481">
        <v>0</v>
      </c>
      <c r="Q7" s="421"/>
      <c r="R7" s="482">
        <f t="shared" ref="R7:R8" si="0">+N7+O7+P7+Q7</f>
        <v>1</v>
      </c>
      <c r="S7" s="421">
        <f t="shared" ref="S7:S11" si="1">+R7+M7</f>
        <v>2</v>
      </c>
      <c r="T7" s="422">
        <f>+(M7/G7)</f>
        <v>1</v>
      </c>
      <c r="U7" s="878">
        <f>+R7/H7</f>
        <v>1</v>
      </c>
      <c r="V7" s="879">
        <f>+T7*E7</f>
        <v>0.05</v>
      </c>
      <c r="W7" s="880">
        <f>+U7*E7</f>
        <v>0.05</v>
      </c>
      <c r="X7" s="881">
        <f>+M7/F7</f>
        <v>0.25</v>
      </c>
      <c r="Y7" s="881">
        <f t="shared" ref="Y7:Y30" si="2">+S7/F7</f>
        <v>0.5</v>
      </c>
      <c r="Z7" s="442">
        <f>+X7*E7</f>
        <v>1.2500000000000001E-2</v>
      </c>
      <c r="AA7" s="443">
        <f>+Y7*E7</f>
        <v>2.5000000000000001E-2</v>
      </c>
      <c r="AB7" s="139" t="s">
        <v>1775</v>
      </c>
      <c r="AC7" s="587" t="s">
        <v>1798</v>
      </c>
      <c r="AD7" s="587" t="s">
        <v>1860</v>
      </c>
      <c r="AE7" s="106"/>
      <c r="AF7" s="106"/>
    </row>
    <row r="8" spans="1:32" ht="101.4" customHeight="1" thickBot="1" x14ac:dyDescent="0.4">
      <c r="A8" s="233"/>
      <c r="B8" s="397" t="s">
        <v>15</v>
      </c>
      <c r="C8" s="397" t="s">
        <v>16</v>
      </c>
      <c r="D8" s="390" t="s">
        <v>12</v>
      </c>
      <c r="E8" s="286">
        <v>0.2</v>
      </c>
      <c r="F8" s="419">
        <v>20</v>
      </c>
      <c r="G8" s="420">
        <v>5</v>
      </c>
      <c r="H8" s="421">
        <v>5</v>
      </c>
      <c r="I8" s="422">
        <f>+G8/F8</f>
        <v>0.25</v>
      </c>
      <c r="J8" s="422">
        <f t="shared" ref="J8:J11" si="3">+H8/F8</f>
        <v>0.25</v>
      </c>
      <c r="K8" s="422">
        <f>+(G8/F8)*E8</f>
        <v>0.05</v>
      </c>
      <c r="L8" s="422">
        <f t="shared" ref="L8" si="4">+(H8/F8)*E8</f>
        <v>0.05</v>
      </c>
      <c r="M8" s="420">
        <v>5</v>
      </c>
      <c r="N8" s="481">
        <v>0</v>
      </c>
      <c r="O8" s="421">
        <v>2</v>
      </c>
      <c r="P8" s="421"/>
      <c r="Q8" s="421"/>
      <c r="R8" s="482">
        <f t="shared" si="0"/>
        <v>2</v>
      </c>
      <c r="S8" s="421">
        <f t="shared" si="1"/>
        <v>7</v>
      </c>
      <c r="T8" s="422">
        <f>+(M8/G8)</f>
        <v>1</v>
      </c>
      <c r="U8" s="878">
        <f>+R8/H8</f>
        <v>0.4</v>
      </c>
      <c r="V8" s="879">
        <f>+T8*E8</f>
        <v>0.2</v>
      </c>
      <c r="W8" s="880">
        <f t="shared" ref="W8" si="5">+U8*E8</f>
        <v>8.0000000000000016E-2</v>
      </c>
      <c r="X8" s="881">
        <f>+M8/F8</f>
        <v>0.25</v>
      </c>
      <c r="Y8" s="881">
        <f>+S8/F8</f>
        <v>0.35</v>
      </c>
      <c r="Z8" s="442">
        <f>+X8*E8</f>
        <v>0.05</v>
      </c>
      <c r="AA8" s="443">
        <f>+Y8*E8</f>
        <v>6.9999999999999993E-2</v>
      </c>
      <c r="AB8" s="139" t="s">
        <v>1775</v>
      </c>
      <c r="AC8" s="598" t="s">
        <v>1807</v>
      </c>
      <c r="AD8" s="587" t="s">
        <v>1860</v>
      </c>
      <c r="AE8" s="106"/>
      <c r="AF8" s="106"/>
    </row>
    <row r="9" spans="1:32" ht="101.4" customHeight="1" thickBot="1" x14ac:dyDescent="0.4">
      <c r="A9" s="233"/>
      <c r="B9" s="893" t="s">
        <v>17</v>
      </c>
      <c r="C9" s="893" t="s">
        <v>18</v>
      </c>
      <c r="D9" s="390" t="s">
        <v>1508</v>
      </c>
      <c r="E9" s="286">
        <v>0.1</v>
      </c>
      <c r="F9" s="419">
        <v>1</v>
      </c>
      <c r="G9" s="420">
        <v>1</v>
      </c>
      <c r="H9" s="421">
        <v>1</v>
      </c>
      <c r="I9" s="422">
        <f>+G9/F9</f>
        <v>1</v>
      </c>
      <c r="J9" s="422">
        <f t="shared" si="3"/>
        <v>1</v>
      </c>
      <c r="K9" s="422">
        <f>+(G9/F9)*E9</f>
        <v>0.1</v>
      </c>
      <c r="L9" s="422">
        <f>+(H9/F9)*E9</f>
        <v>0.1</v>
      </c>
      <c r="M9" s="420">
        <v>0</v>
      </c>
      <c r="N9" s="481">
        <v>0</v>
      </c>
      <c r="O9" s="481">
        <v>0</v>
      </c>
      <c r="P9" s="481">
        <v>0</v>
      </c>
      <c r="Q9" s="421"/>
      <c r="R9" s="482">
        <f t="shared" ref="R9:R10" si="6">+N9+O9+P9+Q9</f>
        <v>0</v>
      </c>
      <c r="S9" s="421">
        <f t="shared" si="1"/>
        <v>0</v>
      </c>
      <c r="T9" s="422">
        <f>+(M9/G9)</f>
        <v>0</v>
      </c>
      <c r="U9" s="878">
        <f>+R9/H9</f>
        <v>0</v>
      </c>
      <c r="V9" s="879">
        <f>+T9*E9</f>
        <v>0</v>
      </c>
      <c r="W9" s="880">
        <f>+U9*E9</f>
        <v>0</v>
      </c>
      <c r="X9" s="881">
        <f>+M9/F9</f>
        <v>0</v>
      </c>
      <c r="Y9" s="881">
        <f t="shared" si="2"/>
        <v>0</v>
      </c>
      <c r="Z9" s="442">
        <f>+X9*E9</f>
        <v>0</v>
      </c>
      <c r="AA9" s="443">
        <f>+Y9*E9</f>
        <v>0</v>
      </c>
      <c r="AB9" s="139" t="s">
        <v>1775</v>
      </c>
      <c r="AC9" s="587" t="s">
        <v>1798</v>
      </c>
      <c r="AD9" s="587" t="s">
        <v>1860</v>
      </c>
      <c r="AE9" s="106"/>
      <c r="AF9" s="106"/>
    </row>
    <row r="10" spans="1:32" ht="121.2" customHeight="1" thickBot="1" x14ac:dyDescent="0.4">
      <c r="A10" s="233"/>
      <c r="B10" s="894" t="s">
        <v>19</v>
      </c>
      <c r="C10" s="894" t="s">
        <v>20</v>
      </c>
      <c r="D10" s="390" t="s">
        <v>12</v>
      </c>
      <c r="E10" s="286">
        <v>0.1</v>
      </c>
      <c r="F10" s="419">
        <v>1</v>
      </c>
      <c r="G10" s="420">
        <v>0</v>
      </c>
      <c r="H10" s="421">
        <v>0</v>
      </c>
      <c r="I10" s="422"/>
      <c r="J10" s="422"/>
      <c r="K10" s="422"/>
      <c r="L10" s="422"/>
      <c r="M10" s="420"/>
      <c r="N10" s="481">
        <v>0</v>
      </c>
      <c r="O10" s="481">
        <v>0</v>
      </c>
      <c r="P10" s="481">
        <v>0</v>
      </c>
      <c r="Q10" s="421"/>
      <c r="R10" s="482">
        <f t="shared" si="6"/>
        <v>0</v>
      </c>
      <c r="S10" s="421">
        <f t="shared" si="1"/>
        <v>0</v>
      </c>
      <c r="T10" s="422"/>
      <c r="U10" s="878"/>
      <c r="V10" s="879"/>
      <c r="W10" s="880">
        <f t="shared" ref="W10:W11" si="7">+U10*E10</f>
        <v>0</v>
      </c>
      <c r="X10" s="881"/>
      <c r="Y10" s="881"/>
      <c r="Z10" s="442">
        <v>0</v>
      </c>
      <c r="AA10" s="443">
        <v>0</v>
      </c>
      <c r="AB10" s="139" t="s">
        <v>1775</v>
      </c>
      <c r="AC10" s="699" t="s">
        <v>1795</v>
      </c>
      <c r="AD10" s="587" t="s">
        <v>1860</v>
      </c>
      <c r="AE10" s="106"/>
      <c r="AF10" s="106"/>
    </row>
    <row r="11" spans="1:32" ht="162.6" customHeight="1" thickBot="1" x14ac:dyDescent="0.4">
      <c r="A11" s="233"/>
      <c r="B11" s="397" t="s">
        <v>21</v>
      </c>
      <c r="C11" s="397" t="s">
        <v>22</v>
      </c>
      <c r="D11" s="390" t="s">
        <v>1780</v>
      </c>
      <c r="E11" s="286">
        <v>0.3</v>
      </c>
      <c r="F11" s="419">
        <v>40</v>
      </c>
      <c r="G11" s="420">
        <v>2</v>
      </c>
      <c r="H11" s="421">
        <v>2</v>
      </c>
      <c r="I11" s="422">
        <f>+G11/F11</f>
        <v>0.05</v>
      </c>
      <c r="J11" s="422">
        <f t="shared" si="3"/>
        <v>0.05</v>
      </c>
      <c r="K11" s="422">
        <f>+(G11/F11)*E11</f>
        <v>1.4999999999999999E-2</v>
      </c>
      <c r="L11" s="422">
        <f>+(H11/F11)*E11</f>
        <v>1.4999999999999999E-2</v>
      </c>
      <c r="M11" s="420">
        <v>0</v>
      </c>
      <c r="N11" s="481">
        <v>0</v>
      </c>
      <c r="O11" s="481">
        <v>0</v>
      </c>
      <c r="P11" s="481">
        <v>2</v>
      </c>
      <c r="Q11" s="421"/>
      <c r="R11" s="482">
        <f>+N11+O11+P11+Q11</f>
        <v>2</v>
      </c>
      <c r="S11" s="421">
        <f t="shared" si="1"/>
        <v>2</v>
      </c>
      <c r="T11" s="422">
        <f>+(M11/G11)</f>
        <v>0</v>
      </c>
      <c r="U11" s="878">
        <f>+R11/H11</f>
        <v>1</v>
      </c>
      <c r="V11" s="879">
        <f>+T11*E11</f>
        <v>0</v>
      </c>
      <c r="W11" s="880">
        <f t="shared" si="7"/>
        <v>0.3</v>
      </c>
      <c r="X11" s="882">
        <f>+M11/F11</f>
        <v>0</v>
      </c>
      <c r="Y11" s="882">
        <f t="shared" si="2"/>
        <v>0.05</v>
      </c>
      <c r="Z11" s="442">
        <f>+X11*E11</f>
        <v>0</v>
      </c>
      <c r="AA11" s="443">
        <f>+Y11*E11</f>
        <v>1.4999999999999999E-2</v>
      </c>
      <c r="AB11" s="613" t="s">
        <v>1775</v>
      </c>
      <c r="AC11" s="601" t="s">
        <v>1798</v>
      </c>
      <c r="AD11" s="587" t="s">
        <v>1860</v>
      </c>
      <c r="AE11" s="106"/>
      <c r="AF11" s="106"/>
    </row>
    <row r="12" spans="1:32" ht="144" customHeight="1" thickBot="1" x14ac:dyDescent="0.45">
      <c r="A12" s="233"/>
      <c r="B12" s="946" t="s">
        <v>1523</v>
      </c>
      <c r="C12" s="945"/>
      <c r="D12" s="390"/>
      <c r="E12" s="423">
        <v>0.15</v>
      </c>
      <c r="F12" s="418"/>
      <c r="G12" s="418"/>
      <c r="H12" s="424"/>
      <c r="I12" s="417">
        <v>0.66600000000000004</v>
      </c>
      <c r="J12" s="417">
        <f>+AVERAGE(J13:J15)</f>
        <v>1</v>
      </c>
      <c r="K12" s="417">
        <f>+K13+K14+K15</f>
        <v>0.35</v>
      </c>
      <c r="L12" s="417">
        <f>+L13+L14+L15</f>
        <v>0.35</v>
      </c>
      <c r="M12" s="418"/>
      <c r="N12" s="424"/>
      <c r="O12" s="424"/>
      <c r="P12" s="424"/>
      <c r="Q12" s="424"/>
      <c r="R12" s="424"/>
      <c r="S12" s="424"/>
      <c r="T12" s="483">
        <f>+AVERAGE(T13:T15)</f>
        <v>1</v>
      </c>
      <c r="U12" s="483">
        <f>+AVERAGE(U13:U15)</f>
        <v>0</v>
      </c>
      <c r="V12" s="483">
        <f>+(V13+V14+V15)*E12</f>
        <v>5.2499999999999998E-2</v>
      </c>
      <c r="W12" s="483">
        <f>+(W13+W14+W15)*E12</f>
        <v>0</v>
      </c>
      <c r="X12" s="500">
        <v>0.66600000000000004</v>
      </c>
      <c r="Y12" s="501">
        <f>+AVERAGE(Y13:Y15)</f>
        <v>0.66666666666666663</v>
      </c>
      <c r="Z12" s="438">
        <f>+(Z13+Z14+Z15)*E12</f>
        <v>9.7499999999999989E-2</v>
      </c>
      <c r="AA12" s="499">
        <f>+(AA13+AA14+AA15)</f>
        <v>0.64999999999999991</v>
      </c>
      <c r="AB12" s="610"/>
      <c r="AC12" s="700" t="s">
        <v>1808</v>
      </c>
      <c r="AD12" s="388"/>
      <c r="AE12" s="106"/>
      <c r="AF12" s="106"/>
    </row>
    <row r="13" spans="1:32" ht="118.2" customHeight="1" thickBot="1" x14ac:dyDescent="0.4">
      <c r="A13" s="233"/>
      <c r="B13" s="894" t="s">
        <v>23</v>
      </c>
      <c r="C13" s="894" t="s">
        <v>24</v>
      </c>
      <c r="D13" s="390" t="s">
        <v>12</v>
      </c>
      <c r="E13" s="286">
        <v>0.35</v>
      </c>
      <c r="F13" s="419">
        <v>1</v>
      </c>
      <c r="G13" s="420">
        <v>0</v>
      </c>
      <c r="H13" s="421">
        <v>0</v>
      </c>
      <c r="I13" s="422"/>
      <c r="J13" s="425"/>
      <c r="K13" s="422"/>
      <c r="L13" s="425"/>
      <c r="M13" s="420"/>
      <c r="N13" s="481"/>
      <c r="O13" s="481">
        <v>0</v>
      </c>
      <c r="P13" s="481"/>
      <c r="Q13" s="421"/>
      <c r="R13" s="421">
        <f>+N13+O13+P13+Q13</f>
        <v>0</v>
      </c>
      <c r="S13" s="421">
        <f t="shared" ref="S13" si="8">+R13+M13</f>
        <v>0</v>
      </c>
      <c r="T13" s="422"/>
      <c r="U13" s="425"/>
      <c r="V13" s="422"/>
      <c r="W13" s="425"/>
      <c r="X13" s="442">
        <v>0</v>
      </c>
      <c r="Y13" s="443">
        <v>0</v>
      </c>
      <c r="Z13" s="442">
        <f>+X13*E13</f>
        <v>0</v>
      </c>
      <c r="AA13" s="443">
        <f>+Y13*E13</f>
        <v>0</v>
      </c>
      <c r="AB13" s="613" t="s">
        <v>1775</v>
      </c>
      <c r="AC13" s="704" t="s">
        <v>1798</v>
      </c>
      <c r="AD13" s="587" t="s">
        <v>1860</v>
      </c>
      <c r="AE13" s="106"/>
      <c r="AF13" s="106"/>
    </row>
    <row r="14" spans="1:32" ht="91.95" customHeight="1" thickBot="1" x14ac:dyDescent="0.4">
      <c r="A14" s="233"/>
      <c r="B14" s="894" t="s">
        <v>25</v>
      </c>
      <c r="C14" s="894" t="s">
        <v>26</v>
      </c>
      <c r="D14" s="390" t="s">
        <v>12</v>
      </c>
      <c r="E14" s="286">
        <v>0.35</v>
      </c>
      <c r="F14" s="419">
        <v>1</v>
      </c>
      <c r="G14" s="420">
        <v>1</v>
      </c>
      <c r="H14" s="421">
        <v>1</v>
      </c>
      <c r="I14" s="422">
        <f>+G14/F14</f>
        <v>1</v>
      </c>
      <c r="J14" s="425">
        <f>+H14/F14</f>
        <v>1</v>
      </c>
      <c r="K14" s="422">
        <f>+(G14/F14)*E14</f>
        <v>0.35</v>
      </c>
      <c r="L14" s="425">
        <f t="shared" ref="L14" si="9">+(H14/F14)*E14</f>
        <v>0.35</v>
      </c>
      <c r="M14" s="420">
        <v>1</v>
      </c>
      <c r="N14" s="481">
        <v>0</v>
      </c>
      <c r="O14" s="481">
        <v>0</v>
      </c>
      <c r="P14" s="481"/>
      <c r="Q14" s="421"/>
      <c r="R14" s="421">
        <f t="shared" ref="R14" si="10">+N14+O14+P14+Q14</f>
        <v>0</v>
      </c>
      <c r="S14" s="421">
        <f t="shared" ref="S14" si="11">+R14+M14</f>
        <v>1</v>
      </c>
      <c r="T14" s="422">
        <f>+(M14/G14)</f>
        <v>1</v>
      </c>
      <c r="U14" s="425">
        <f t="shared" ref="U14:U22" si="12">+R14/H14</f>
        <v>0</v>
      </c>
      <c r="V14" s="422">
        <f>+T14*E14</f>
        <v>0.35</v>
      </c>
      <c r="W14" s="425">
        <f t="shared" ref="W14:W21" si="13">+U14*E14</f>
        <v>0</v>
      </c>
      <c r="X14" s="442">
        <f>+M14/F14</f>
        <v>1</v>
      </c>
      <c r="Y14" s="443">
        <f t="shared" si="2"/>
        <v>1</v>
      </c>
      <c r="Z14" s="442">
        <f>+X14*E14</f>
        <v>0.35</v>
      </c>
      <c r="AA14" s="443">
        <f>+Y14*E14</f>
        <v>0.35</v>
      </c>
      <c r="AB14" s="613" t="s">
        <v>1775</v>
      </c>
      <c r="AC14" s="704" t="s">
        <v>1520</v>
      </c>
      <c r="AD14" s="587" t="s">
        <v>1860</v>
      </c>
      <c r="AE14" s="106"/>
      <c r="AF14" s="106"/>
    </row>
    <row r="15" spans="1:32" ht="74.400000000000006" customHeight="1" thickBot="1" x14ac:dyDescent="0.4">
      <c r="A15" s="233"/>
      <c r="B15" s="893" t="s">
        <v>27</v>
      </c>
      <c r="C15" s="893" t="s">
        <v>28</v>
      </c>
      <c r="D15" s="390" t="s">
        <v>12</v>
      </c>
      <c r="E15" s="286">
        <v>0.3</v>
      </c>
      <c r="F15" s="419">
        <v>2</v>
      </c>
      <c r="G15" s="420">
        <v>2</v>
      </c>
      <c r="H15" s="421">
        <v>2</v>
      </c>
      <c r="I15" s="422">
        <f>+G15/F15</f>
        <v>1</v>
      </c>
      <c r="J15" s="425"/>
      <c r="K15" s="422"/>
      <c r="L15" s="425"/>
      <c r="M15" s="420">
        <v>2</v>
      </c>
      <c r="N15" s="481">
        <v>0</v>
      </c>
      <c r="O15" s="481">
        <v>0</v>
      </c>
      <c r="P15" s="481">
        <v>2</v>
      </c>
      <c r="Q15" s="421"/>
      <c r="R15" s="421">
        <f>+N15+O15+P15+Q15</f>
        <v>2</v>
      </c>
      <c r="S15" s="421">
        <f>+R15+M15</f>
        <v>4</v>
      </c>
      <c r="T15" s="422">
        <f>+(M15/G15)</f>
        <v>1</v>
      </c>
      <c r="U15" s="425"/>
      <c r="V15" s="422"/>
      <c r="W15" s="425"/>
      <c r="X15" s="442">
        <f>+M15/F15</f>
        <v>1</v>
      </c>
      <c r="Y15" s="443">
        <v>1</v>
      </c>
      <c r="Z15" s="442">
        <f>+X15*E15</f>
        <v>0.3</v>
      </c>
      <c r="AA15" s="443">
        <f>+Y15*E15</f>
        <v>0.3</v>
      </c>
      <c r="AB15" s="613" t="s">
        <v>1520</v>
      </c>
      <c r="AC15" s="704" t="s">
        <v>1520</v>
      </c>
      <c r="AD15" s="587" t="s">
        <v>1860</v>
      </c>
      <c r="AE15" s="106"/>
      <c r="AF15" s="106"/>
    </row>
    <row r="16" spans="1:32" ht="103.95" customHeight="1" thickBot="1" x14ac:dyDescent="0.45">
      <c r="A16" s="233"/>
      <c r="B16" s="946" t="s">
        <v>1524</v>
      </c>
      <c r="C16" s="945"/>
      <c r="D16" s="390"/>
      <c r="E16" s="415">
        <v>0.3</v>
      </c>
      <c r="F16" s="418"/>
      <c r="G16" s="418"/>
      <c r="H16" s="424"/>
      <c r="I16" s="417">
        <f>+AVERAGE(I17:I22)</f>
        <v>0.21866537089073543</v>
      </c>
      <c r="J16" s="417">
        <f>+AVERAGE(J17:J22)</f>
        <v>0.52361748159110777</v>
      </c>
      <c r="K16" s="417">
        <f>+K17+K18+K19+K20+K21+K22</f>
        <v>0.23116977612690295</v>
      </c>
      <c r="L16" s="417">
        <f>+L17+L18+L19+L20+L21+L22</f>
        <v>0.53003621333629014</v>
      </c>
      <c r="M16" s="418"/>
      <c r="N16" s="424"/>
      <c r="O16" s="424"/>
      <c r="P16" s="424"/>
      <c r="Q16" s="424"/>
      <c r="R16" s="424"/>
      <c r="S16" s="424"/>
      <c r="T16" s="480">
        <f>+AVERAGE(T17:T22)</f>
        <v>0.51965408805031454</v>
      </c>
      <c r="U16" s="483">
        <f>+AVERAGE(U17:U22)</f>
        <v>0.50896230461501368</v>
      </c>
      <c r="V16" s="480">
        <f>+(V17+V18+V19+V20+V21+V22)*E16</f>
        <v>0.1270754716981132</v>
      </c>
      <c r="W16" s="480">
        <f>+(W17+W18+W19+W20+W21+W22)*E16</f>
        <v>0.14361911258823423</v>
      </c>
      <c r="X16" s="438">
        <f>+AVERAGE(X17:X22)</f>
        <v>0.18898231334553608</v>
      </c>
      <c r="Y16" s="499">
        <f>+AVERAGE(Y17:Y22)</f>
        <v>0.52453954060493346</v>
      </c>
      <c r="Z16" s="438">
        <f>+(Z17+Z18+Z19+Z20+Z21+Z22)*E16</f>
        <v>3.7150208628344908E-2</v>
      </c>
      <c r="AA16" s="499">
        <f>+(AA17+AA18+AA19+AA20+AA21+AA22)</f>
        <v>0.43691480477842215</v>
      </c>
      <c r="AB16" s="132"/>
      <c r="AC16" s="703"/>
      <c r="AD16" s="388"/>
      <c r="AE16" s="106"/>
      <c r="AF16" s="106"/>
    </row>
    <row r="17" spans="1:32" ht="96" customHeight="1" thickBot="1" x14ac:dyDescent="0.4">
      <c r="A17" s="391"/>
      <c r="B17" s="893" t="s">
        <v>29</v>
      </c>
      <c r="C17" s="893" t="s">
        <v>30</v>
      </c>
      <c r="D17" s="394" t="s">
        <v>31</v>
      </c>
      <c r="E17" s="286">
        <v>0.1</v>
      </c>
      <c r="F17" s="419">
        <f>879*4</f>
        <v>3516</v>
      </c>
      <c r="G17" s="420">
        <v>219</v>
      </c>
      <c r="H17" s="482">
        <v>400</v>
      </c>
      <c r="I17" s="422">
        <f t="shared" ref="I17:I22" si="14">+G17/F17</f>
        <v>6.2286689419795219E-2</v>
      </c>
      <c r="J17" s="425">
        <f>+H17/879</f>
        <v>0.45506257110352671</v>
      </c>
      <c r="K17" s="422">
        <f>+(G17/F17)*E17</f>
        <v>6.2286689419795219E-3</v>
      </c>
      <c r="L17" s="425">
        <f>+(H17/879)*E17</f>
        <v>4.5506257110352673E-2</v>
      </c>
      <c r="M17" s="420">
        <v>484</v>
      </c>
      <c r="N17" s="481">
        <v>0</v>
      </c>
      <c r="O17" s="481">
        <v>200</v>
      </c>
      <c r="P17" s="481">
        <v>172</v>
      </c>
      <c r="Q17" s="421"/>
      <c r="R17" s="421">
        <f>+N17+O17+P17+Q17</f>
        <v>372</v>
      </c>
      <c r="S17" s="421">
        <f>+R17+M17</f>
        <v>856</v>
      </c>
      <c r="T17" s="422">
        <v>1</v>
      </c>
      <c r="U17" s="425">
        <f>+R17/H17</f>
        <v>0.93</v>
      </c>
      <c r="V17" s="422">
        <f>+T17*E17</f>
        <v>0.1</v>
      </c>
      <c r="W17" s="425">
        <f>+U17*E17</f>
        <v>9.3000000000000013E-2</v>
      </c>
      <c r="X17" s="442">
        <f>+M17/F17</f>
        <v>0.13765642775881684</v>
      </c>
      <c r="Y17" s="443">
        <f>+S17/879</f>
        <v>0.97383390216154719</v>
      </c>
      <c r="Z17" s="442">
        <f>+X17*E17</f>
        <v>1.3765642775881685E-2</v>
      </c>
      <c r="AA17" s="443">
        <f>+Y17*E17</f>
        <v>9.7383390216154719E-2</v>
      </c>
      <c r="AB17" s="613" t="s">
        <v>1775</v>
      </c>
      <c r="AC17" s="705" t="s">
        <v>1839</v>
      </c>
      <c r="AD17" s="698" t="s">
        <v>1779</v>
      </c>
      <c r="AE17" s="106"/>
      <c r="AF17" s="106"/>
    </row>
    <row r="18" spans="1:32" ht="81" customHeight="1" thickBot="1" x14ac:dyDescent="0.4">
      <c r="A18" s="233"/>
      <c r="B18" s="893" t="s">
        <v>32</v>
      </c>
      <c r="C18" s="893" t="s">
        <v>33</v>
      </c>
      <c r="D18" s="390" t="s">
        <v>31</v>
      </c>
      <c r="E18" s="286">
        <v>0.2</v>
      </c>
      <c r="F18" s="419">
        <v>849</v>
      </c>
      <c r="G18" s="420">
        <v>212</v>
      </c>
      <c r="H18" s="482">
        <v>729</v>
      </c>
      <c r="I18" s="422">
        <f t="shared" si="14"/>
        <v>0.24970553592461719</v>
      </c>
      <c r="J18" s="425">
        <f t="shared" ref="J18:J30" si="15">+H18/F18</f>
        <v>0.85865724381625441</v>
      </c>
      <c r="K18" s="422">
        <f t="shared" ref="K18:K22" si="16">+(G18/F18)*E18</f>
        <v>4.9941107184923443E-2</v>
      </c>
      <c r="L18" s="425">
        <f t="shared" ref="L18:L20" si="17">+(H18/F18)*E18</f>
        <v>0.17173144876325089</v>
      </c>
      <c r="M18" s="420">
        <v>25</v>
      </c>
      <c r="N18" s="481">
        <v>0</v>
      </c>
      <c r="O18" s="481">
        <v>162</v>
      </c>
      <c r="P18" s="481">
        <v>478</v>
      </c>
      <c r="Q18" s="421"/>
      <c r="R18" s="421">
        <f t="shared" ref="R18:R22" si="18">+N18+O18+P18+Q18</f>
        <v>640</v>
      </c>
      <c r="S18" s="421">
        <f t="shared" ref="S18:S22" si="19">+R18+M18</f>
        <v>665</v>
      </c>
      <c r="T18" s="422">
        <f>+(M18/G18)</f>
        <v>0.11792452830188679</v>
      </c>
      <c r="U18" s="425">
        <f t="shared" si="12"/>
        <v>0.87791495198902603</v>
      </c>
      <c r="V18" s="422">
        <f t="shared" ref="V18:V22" si="20">+T18*E18</f>
        <v>2.358490566037736E-2</v>
      </c>
      <c r="W18" s="425">
        <f t="shared" si="13"/>
        <v>0.17558299039780523</v>
      </c>
      <c r="X18" s="442">
        <f>+M18/F18</f>
        <v>2.9446407538280331E-2</v>
      </c>
      <c r="Y18" s="443">
        <f t="shared" si="2"/>
        <v>0.78327444051825679</v>
      </c>
      <c r="Z18" s="442">
        <f t="shared" ref="Z18:Z22" si="21">+X18*E18</f>
        <v>5.8892815076560662E-3</v>
      </c>
      <c r="AA18" s="443">
        <f t="shared" ref="AA18:AA22" si="22">+Y18*E18</f>
        <v>0.15665488810365136</v>
      </c>
      <c r="AB18" s="613" t="s">
        <v>1775</v>
      </c>
      <c r="AC18" s="704" t="s">
        <v>1798</v>
      </c>
      <c r="AD18" s="698" t="s">
        <v>1779</v>
      </c>
      <c r="AE18" s="106"/>
      <c r="AF18" s="106"/>
    </row>
    <row r="19" spans="1:32" ht="93" customHeight="1" thickBot="1" x14ac:dyDescent="0.4">
      <c r="A19" s="233"/>
      <c r="B19" s="893" t="s">
        <v>34</v>
      </c>
      <c r="C19" s="893" t="s">
        <v>1160</v>
      </c>
      <c r="D19" s="390" t="s">
        <v>31</v>
      </c>
      <c r="E19" s="286">
        <v>0.2</v>
      </c>
      <c r="F19" s="419">
        <v>440</v>
      </c>
      <c r="G19" s="420">
        <v>110</v>
      </c>
      <c r="H19" s="482">
        <v>187</v>
      </c>
      <c r="I19" s="422">
        <f t="shared" si="14"/>
        <v>0.25</v>
      </c>
      <c r="J19" s="425">
        <f t="shared" si="15"/>
        <v>0.42499999999999999</v>
      </c>
      <c r="K19" s="422">
        <f t="shared" si="16"/>
        <v>0.05</v>
      </c>
      <c r="L19" s="425">
        <f t="shared" si="17"/>
        <v>8.5000000000000006E-2</v>
      </c>
      <c r="M19" s="420">
        <v>33</v>
      </c>
      <c r="N19" s="481">
        <v>0</v>
      </c>
      <c r="O19" s="481">
        <v>0</v>
      </c>
      <c r="P19" s="481">
        <v>160</v>
      </c>
      <c r="Q19" s="421"/>
      <c r="R19" s="421">
        <f t="shared" si="18"/>
        <v>160</v>
      </c>
      <c r="S19" s="421">
        <f t="shared" si="19"/>
        <v>193</v>
      </c>
      <c r="T19" s="422">
        <v>1</v>
      </c>
      <c r="U19" s="425">
        <f t="shared" si="12"/>
        <v>0.85561497326203206</v>
      </c>
      <c r="V19" s="422">
        <f t="shared" si="20"/>
        <v>0.2</v>
      </c>
      <c r="W19" s="425">
        <f t="shared" si="13"/>
        <v>0.17112299465240643</v>
      </c>
      <c r="X19" s="442">
        <f t="shared" ref="X19:X22" si="23">+M19/F19</f>
        <v>7.4999999999999997E-2</v>
      </c>
      <c r="Y19" s="443">
        <f t="shared" si="2"/>
        <v>0.43863636363636366</v>
      </c>
      <c r="Z19" s="442">
        <f t="shared" si="21"/>
        <v>1.4999999999999999E-2</v>
      </c>
      <c r="AA19" s="443">
        <f t="shared" si="22"/>
        <v>8.7727272727272737E-2</v>
      </c>
      <c r="AB19" s="613" t="s">
        <v>1775</v>
      </c>
      <c r="AC19" s="704" t="s">
        <v>1798</v>
      </c>
      <c r="AD19" s="698" t="s">
        <v>1779</v>
      </c>
      <c r="AE19" s="106"/>
      <c r="AF19" s="106"/>
    </row>
    <row r="20" spans="1:32" ht="117" customHeight="1" thickBot="1" x14ac:dyDescent="0.4">
      <c r="A20" s="233"/>
      <c r="B20" s="893" t="s">
        <v>35</v>
      </c>
      <c r="C20" s="893" t="s">
        <v>36</v>
      </c>
      <c r="D20" s="390" t="s">
        <v>31</v>
      </c>
      <c r="E20" s="286">
        <v>0.15</v>
      </c>
      <c r="F20" s="419">
        <v>120</v>
      </c>
      <c r="G20" s="420">
        <v>30</v>
      </c>
      <c r="H20" s="482">
        <v>120</v>
      </c>
      <c r="I20" s="422">
        <f t="shared" si="14"/>
        <v>0.25</v>
      </c>
      <c r="J20" s="425">
        <f t="shared" si="15"/>
        <v>1</v>
      </c>
      <c r="K20" s="422">
        <f t="shared" si="16"/>
        <v>3.7499999999999999E-2</v>
      </c>
      <c r="L20" s="425">
        <f t="shared" si="17"/>
        <v>0.15</v>
      </c>
      <c r="M20" s="420">
        <v>0</v>
      </c>
      <c r="N20" s="481">
        <v>0</v>
      </c>
      <c r="O20" s="481">
        <v>0</v>
      </c>
      <c r="P20" s="481">
        <v>0</v>
      </c>
      <c r="Q20" s="421"/>
      <c r="R20" s="421">
        <f t="shared" si="18"/>
        <v>0</v>
      </c>
      <c r="S20" s="421">
        <f t="shared" si="19"/>
        <v>0</v>
      </c>
      <c r="T20" s="422">
        <f>+(M20/G20)</f>
        <v>0</v>
      </c>
      <c r="U20" s="425">
        <f t="shared" si="12"/>
        <v>0</v>
      </c>
      <c r="V20" s="422">
        <f t="shared" si="20"/>
        <v>0</v>
      </c>
      <c r="W20" s="425">
        <f t="shared" si="13"/>
        <v>0</v>
      </c>
      <c r="X20" s="442">
        <f t="shared" si="23"/>
        <v>0</v>
      </c>
      <c r="Y20" s="443">
        <f t="shared" si="2"/>
        <v>0</v>
      </c>
      <c r="Z20" s="442">
        <f t="shared" si="21"/>
        <v>0</v>
      </c>
      <c r="AA20" s="443">
        <f t="shared" si="22"/>
        <v>0</v>
      </c>
      <c r="AB20" s="139" t="s">
        <v>1775</v>
      </c>
      <c r="AC20" s="702" t="s">
        <v>1798</v>
      </c>
      <c r="AD20" s="698" t="s">
        <v>1779</v>
      </c>
      <c r="AE20" s="106"/>
      <c r="AF20" s="106"/>
    </row>
    <row r="21" spans="1:32" ht="117" customHeight="1" thickBot="1" x14ac:dyDescent="0.4">
      <c r="A21" s="391"/>
      <c r="B21" s="893" t="s">
        <v>37</v>
      </c>
      <c r="C21" s="893" t="s">
        <v>38</v>
      </c>
      <c r="D21" s="390" t="s">
        <v>31</v>
      </c>
      <c r="E21" s="286">
        <v>0.25</v>
      </c>
      <c r="F21" s="419">
        <v>4</v>
      </c>
      <c r="G21" s="420">
        <v>1</v>
      </c>
      <c r="H21" s="482">
        <v>1</v>
      </c>
      <c r="I21" s="422">
        <f t="shared" si="14"/>
        <v>0.25</v>
      </c>
      <c r="J21" s="425">
        <f t="shared" si="15"/>
        <v>0.25</v>
      </c>
      <c r="K21" s="422">
        <f t="shared" si="16"/>
        <v>6.25E-2</v>
      </c>
      <c r="L21" s="425">
        <f>+(H21/F21)*E21</f>
        <v>6.25E-2</v>
      </c>
      <c r="M21" s="420">
        <v>0</v>
      </c>
      <c r="N21" s="481">
        <v>0</v>
      </c>
      <c r="O21" s="481">
        <v>0</v>
      </c>
      <c r="P21" s="481">
        <v>0</v>
      </c>
      <c r="Q21" s="421"/>
      <c r="R21" s="421">
        <f t="shared" si="18"/>
        <v>0</v>
      </c>
      <c r="S21" s="421">
        <f t="shared" si="19"/>
        <v>0</v>
      </c>
      <c r="T21" s="422">
        <f>+(M21/G21)</f>
        <v>0</v>
      </c>
      <c r="U21" s="425">
        <f t="shared" si="12"/>
        <v>0</v>
      </c>
      <c r="V21" s="422">
        <f t="shared" si="20"/>
        <v>0</v>
      </c>
      <c r="W21" s="425">
        <f t="shared" si="13"/>
        <v>0</v>
      </c>
      <c r="X21" s="442">
        <f t="shared" si="23"/>
        <v>0</v>
      </c>
      <c r="Y21" s="443">
        <f t="shared" si="2"/>
        <v>0</v>
      </c>
      <c r="Z21" s="442">
        <f t="shared" si="21"/>
        <v>0</v>
      </c>
      <c r="AA21" s="443">
        <f t="shared" si="22"/>
        <v>0</v>
      </c>
      <c r="AB21" s="139" t="s">
        <v>1775</v>
      </c>
      <c r="AC21" s="586" t="s">
        <v>1798</v>
      </c>
      <c r="AD21" s="698" t="s">
        <v>1779</v>
      </c>
      <c r="AE21" s="106"/>
      <c r="AF21" s="106"/>
    </row>
    <row r="22" spans="1:32" ht="117" customHeight="1" thickBot="1" x14ac:dyDescent="0.4">
      <c r="A22" s="233"/>
      <c r="B22" s="893" t="s">
        <v>39</v>
      </c>
      <c r="C22" s="893" t="s">
        <v>40</v>
      </c>
      <c r="D22" s="394" t="s">
        <v>31</v>
      </c>
      <c r="E22" s="286">
        <v>0.1</v>
      </c>
      <c r="F22" s="419">
        <v>268</v>
      </c>
      <c r="G22" s="420">
        <v>67</v>
      </c>
      <c r="H22" s="482">
        <v>41</v>
      </c>
      <c r="I22" s="422">
        <f t="shared" si="14"/>
        <v>0.25</v>
      </c>
      <c r="J22" s="425">
        <f t="shared" si="15"/>
        <v>0.15298507462686567</v>
      </c>
      <c r="K22" s="422">
        <f t="shared" si="16"/>
        <v>2.5000000000000001E-2</v>
      </c>
      <c r="L22" s="425">
        <f>+(H22/F22)*E22</f>
        <v>1.5298507462686567E-2</v>
      </c>
      <c r="M22" s="420">
        <v>239</v>
      </c>
      <c r="N22" s="481">
        <v>0</v>
      </c>
      <c r="O22" s="481">
        <v>16</v>
      </c>
      <c r="P22" s="481">
        <v>0</v>
      </c>
      <c r="Q22" s="421"/>
      <c r="R22" s="421">
        <f t="shared" si="18"/>
        <v>16</v>
      </c>
      <c r="S22" s="421">
        <f t="shared" si="19"/>
        <v>255</v>
      </c>
      <c r="T22" s="422">
        <v>1</v>
      </c>
      <c r="U22" s="425">
        <f t="shared" si="12"/>
        <v>0.3902439024390244</v>
      </c>
      <c r="V22" s="422">
        <f t="shared" si="20"/>
        <v>0.1</v>
      </c>
      <c r="W22" s="425">
        <f>+U22*E22</f>
        <v>3.9024390243902446E-2</v>
      </c>
      <c r="X22" s="442">
        <f t="shared" si="23"/>
        <v>0.89179104477611937</v>
      </c>
      <c r="Y22" s="443">
        <f t="shared" si="2"/>
        <v>0.95149253731343286</v>
      </c>
      <c r="Z22" s="442">
        <f t="shared" si="21"/>
        <v>8.9179104477611945E-2</v>
      </c>
      <c r="AA22" s="443">
        <f t="shared" si="22"/>
        <v>9.5149253731343295E-2</v>
      </c>
      <c r="AB22" s="139" t="s">
        <v>1775</v>
      </c>
      <c r="AC22" s="586" t="s">
        <v>1798</v>
      </c>
      <c r="AD22" s="586" t="s">
        <v>1860</v>
      </c>
      <c r="AE22" s="106"/>
      <c r="AF22" s="106"/>
    </row>
    <row r="23" spans="1:32" ht="62.25" customHeight="1" thickBot="1" x14ac:dyDescent="0.45">
      <c r="A23" s="233"/>
      <c r="B23" s="946" t="s">
        <v>1525</v>
      </c>
      <c r="C23" s="945"/>
      <c r="D23" s="390"/>
      <c r="E23" s="415">
        <v>0.1</v>
      </c>
      <c r="F23" s="418"/>
      <c r="G23" s="420"/>
      <c r="H23" s="421"/>
      <c r="I23" s="417">
        <f>+AVERAGE(I24:I25)</f>
        <v>0.625</v>
      </c>
      <c r="J23" s="417">
        <f>+AVERAGE(J24:J25)</f>
        <v>0.25</v>
      </c>
      <c r="K23" s="417">
        <f>+K24+K25</f>
        <v>0.77499999999999991</v>
      </c>
      <c r="L23" s="417">
        <f>+L24+L25</f>
        <v>7.4999999999999997E-2</v>
      </c>
      <c r="M23" s="418"/>
      <c r="N23" s="424"/>
      <c r="O23" s="424"/>
      <c r="P23" s="424"/>
      <c r="Q23" s="424"/>
      <c r="R23" s="424"/>
      <c r="S23" s="424"/>
      <c r="T23" s="483">
        <f>+AVERAGE(T24:T25)</f>
        <v>1</v>
      </c>
      <c r="U23" s="483">
        <f>+AVERAGE(U24:U25)</f>
        <v>1</v>
      </c>
      <c r="V23" s="483">
        <f>+(V24+V25)*E23</f>
        <v>0.1</v>
      </c>
      <c r="W23" s="483">
        <f>+(W24+W25)*E23</f>
        <v>0.03</v>
      </c>
      <c r="X23" s="438">
        <f>+AVERAGE(X24:X25)</f>
        <v>0.625</v>
      </c>
      <c r="Y23" s="499">
        <f>+AVERAGE(Y24:Y25)</f>
        <v>0.75</v>
      </c>
      <c r="Z23" s="438">
        <f>+(Z24+Z25)*E23</f>
        <v>7.7499999999999999E-2</v>
      </c>
      <c r="AA23" s="499">
        <f>+(AA24+AA25)</f>
        <v>0.85</v>
      </c>
      <c r="AB23" s="132"/>
      <c r="AC23" s="388"/>
      <c r="AD23" s="388"/>
      <c r="AE23" s="106"/>
      <c r="AF23" s="106"/>
    </row>
    <row r="24" spans="1:32" ht="94.95" customHeight="1" thickBot="1" x14ac:dyDescent="0.4">
      <c r="A24" s="233"/>
      <c r="B24" s="894" t="s">
        <v>41</v>
      </c>
      <c r="C24" s="894" t="s">
        <v>42</v>
      </c>
      <c r="D24" s="390" t="s">
        <v>43</v>
      </c>
      <c r="E24" s="286">
        <v>0.3</v>
      </c>
      <c r="F24" s="419">
        <v>4</v>
      </c>
      <c r="G24" s="420">
        <v>1</v>
      </c>
      <c r="H24" s="421">
        <v>1</v>
      </c>
      <c r="I24" s="422">
        <f>+G24/F24</f>
        <v>0.25</v>
      </c>
      <c r="J24" s="425">
        <f t="shared" si="15"/>
        <v>0.25</v>
      </c>
      <c r="K24" s="422">
        <f>+(G24/F24)*E24</f>
        <v>7.4999999999999997E-2</v>
      </c>
      <c r="L24" s="425">
        <f>+(H24/F24)*E24</f>
        <v>7.4999999999999997E-2</v>
      </c>
      <c r="M24" s="420">
        <v>1</v>
      </c>
      <c r="N24" s="481">
        <v>0</v>
      </c>
      <c r="O24" s="481">
        <v>0</v>
      </c>
      <c r="P24" s="481">
        <v>1</v>
      </c>
      <c r="Q24" s="421"/>
      <c r="R24" s="421">
        <f t="shared" ref="R24:R25" si="24">+N24+O24+P24+Q24</f>
        <v>1</v>
      </c>
      <c r="S24" s="421">
        <f t="shared" ref="S24:S25" si="25">+R24+M24</f>
        <v>2</v>
      </c>
      <c r="T24" s="422">
        <f>+(M24/G24)</f>
        <v>1</v>
      </c>
      <c r="U24" s="459">
        <f>+R24/H24</f>
        <v>1</v>
      </c>
      <c r="V24" s="474">
        <f>+T24*E24</f>
        <v>0.3</v>
      </c>
      <c r="W24" s="459">
        <f>+U24*E24</f>
        <v>0.3</v>
      </c>
      <c r="X24" s="503">
        <f>+M24/F24</f>
        <v>0.25</v>
      </c>
      <c r="Y24" s="504">
        <f t="shared" si="2"/>
        <v>0.5</v>
      </c>
      <c r="Z24" s="442">
        <f>+X24*E24</f>
        <v>7.4999999999999997E-2</v>
      </c>
      <c r="AA24" s="443">
        <f>+Y24*E24</f>
        <v>0.15</v>
      </c>
      <c r="AB24" s="139" t="s">
        <v>1775</v>
      </c>
      <c r="AC24" s="586" t="s">
        <v>1798</v>
      </c>
      <c r="AD24" s="586" t="s">
        <v>1860</v>
      </c>
      <c r="AE24" s="106"/>
      <c r="AF24" s="106"/>
    </row>
    <row r="25" spans="1:32" ht="94.95" customHeight="1" thickBot="1" x14ac:dyDescent="0.4">
      <c r="A25" s="233"/>
      <c r="B25" s="893" t="s">
        <v>44</v>
      </c>
      <c r="C25" s="893" t="s">
        <v>45</v>
      </c>
      <c r="D25" s="390" t="s">
        <v>43</v>
      </c>
      <c r="E25" s="286">
        <v>0.7</v>
      </c>
      <c r="F25" s="419">
        <v>20</v>
      </c>
      <c r="G25" s="420">
        <v>20</v>
      </c>
      <c r="H25" s="421"/>
      <c r="I25" s="422">
        <f>+G25/F25</f>
        <v>1</v>
      </c>
      <c r="J25" s="425"/>
      <c r="K25" s="422">
        <f>+(G25/F25)*E25</f>
        <v>0.7</v>
      </c>
      <c r="L25" s="425"/>
      <c r="M25" s="420">
        <v>23</v>
      </c>
      <c r="N25" s="481"/>
      <c r="O25" s="481"/>
      <c r="P25" s="481"/>
      <c r="Q25" s="421"/>
      <c r="R25" s="421">
        <f t="shared" si="24"/>
        <v>0</v>
      </c>
      <c r="S25" s="421">
        <f t="shared" si="25"/>
        <v>23</v>
      </c>
      <c r="T25" s="422">
        <v>1</v>
      </c>
      <c r="U25" s="459"/>
      <c r="V25" s="474">
        <f>+T25*E25</f>
        <v>0.7</v>
      </c>
      <c r="W25" s="459"/>
      <c r="X25" s="503">
        <v>1</v>
      </c>
      <c r="Y25" s="504">
        <v>1</v>
      </c>
      <c r="Z25" s="442">
        <f>+X25*E25</f>
        <v>0.7</v>
      </c>
      <c r="AA25" s="443">
        <f>+Y25*E25</f>
        <v>0.7</v>
      </c>
      <c r="AB25" s="139" t="s">
        <v>1520</v>
      </c>
      <c r="AC25" s="698" t="s">
        <v>1841</v>
      </c>
      <c r="AD25" s="586" t="s">
        <v>1860</v>
      </c>
      <c r="AE25" s="106"/>
      <c r="AF25" s="106"/>
    </row>
    <row r="26" spans="1:32" ht="94.95" customHeight="1" thickBot="1" x14ac:dyDescent="0.45">
      <c r="A26" s="233"/>
      <c r="B26" s="946" t="s">
        <v>1526</v>
      </c>
      <c r="C26" s="945"/>
      <c r="D26" s="390"/>
      <c r="E26" s="415">
        <v>0.1</v>
      </c>
      <c r="F26" s="418"/>
      <c r="G26" s="420"/>
      <c r="H26" s="421"/>
      <c r="I26" s="417">
        <f>+AVERAGE(I27:I30)</f>
        <v>0.15590277777777778</v>
      </c>
      <c r="J26" s="417">
        <f>+AVERAGE(J27:J30)</f>
        <v>0.26105944444444446</v>
      </c>
      <c r="K26" s="417">
        <f>+K27+K28+K29+K30</f>
        <v>0.15590277777777778</v>
      </c>
      <c r="L26" s="417">
        <f>+L27+L28+L29+L30</f>
        <v>0.26105944444444446</v>
      </c>
      <c r="M26" s="418"/>
      <c r="N26" s="424"/>
      <c r="O26" s="424"/>
      <c r="P26" s="424"/>
      <c r="Q26" s="424"/>
      <c r="R26" s="424"/>
      <c r="S26" s="424"/>
      <c r="T26" s="483">
        <f>+AVERAGE(T27:T30)</f>
        <v>1</v>
      </c>
      <c r="U26" s="483">
        <f>+AVERAGE(U27:U30)</f>
        <v>0.84375</v>
      </c>
      <c r="V26" s="483">
        <f>+(V27+V28+V29+V30)*E26</f>
        <v>0.1</v>
      </c>
      <c r="W26" s="483">
        <f>+(W27+W28+W29+W30)*E26</f>
        <v>8.4375000000000006E-2</v>
      </c>
      <c r="X26" s="438">
        <f>+AVERAGE(X27:X30)</f>
        <v>0.22168277777777778</v>
      </c>
      <c r="Y26" s="499">
        <f>+AVERAGE(Y27:Y30)</f>
        <v>0.54789027777777788</v>
      </c>
      <c r="Z26" s="438">
        <f>+(Z27+Z28+Z29+Z30)*E26</f>
        <v>2.216827777777778E-2</v>
      </c>
      <c r="AA26" s="499">
        <f>+(AA27+AA28+AA29+AA30)</f>
        <v>0.54789027777777788</v>
      </c>
      <c r="AB26" s="132"/>
      <c r="AC26" s="388"/>
      <c r="AD26" s="388"/>
      <c r="AE26" s="106"/>
      <c r="AF26" s="106"/>
    </row>
    <row r="27" spans="1:32" ht="94.95" customHeight="1" thickBot="1" x14ac:dyDescent="0.4">
      <c r="A27" s="233"/>
      <c r="B27" s="894" t="s">
        <v>46</v>
      </c>
      <c r="C27" s="894" t="s">
        <v>47</v>
      </c>
      <c r="D27" s="390" t="s">
        <v>48</v>
      </c>
      <c r="E27" s="286">
        <v>0.25</v>
      </c>
      <c r="F27" s="426">
        <v>100000</v>
      </c>
      <c r="G27" s="420">
        <v>20000</v>
      </c>
      <c r="H27" s="421">
        <v>21646</v>
      </c>
      <c r="I27" s="422">
        <f>+G27/F27</f>
        <v>0.2</v>
      </c>
      <c r="J27" s="425">
        <f t="shared" si="15"/>
        <v>0.21646000000000001</v>
      </c>
      <c r="K27" s="422">
        <f>+(G27/F27)*E27</f>
        <v>0.05</v>
      </c>
      <c r="L27" s="425">
        <f>+(H27/F27)*E27</f>
        <v>5.4115000000000003E-2</v>
      </c>
      <c r="M27" s="420">
        <v>45062</v>
      </c>
      <c r="N27" s="481">
        <v>5568</v>
      </c>
      <c r="O27" s="481">
        <v>20185</v>
      </c>
      <c r="P27" s="421">
        <v>8480</v>
      </c>
      <c r="Q27" s="421"/>
      <c r="R27" s="421">
        <f>+N27+O27+P27+Q27</f>
        <v>34233</v>
      </c>
      <c r="S27" s="421">
        <f>+R27+M27</f>
        <v>79295</v>
      </c>
      <c r="T27" s="422">
        <v>1</v>
      </c>
      <c r="U27" s="459">
        <v>1</v>
      </c>
      <c r="V27" s="474">
        <f>+T27*E27</f>
        <v>0.25</v>
      </c>
      <c r="W27" s="459">
        <f>+U27*E27</f>
        <v>0.25</v>
      </c>
      <c r="X27" s="503">
        <f>+M27/F27</f>
        <v>0.45062000000000002</v>
      </c>
      <c r="Y27" s="504">
        <f>+S27/F27</f>
        <v>0.79295000000000004</v>
      </c>
      <c r="Z27" s="503">
        <f>+X27*E27</f>
        <v>0.11265500000000001</v>
      </c>
      <c r="AA27" s="504">
        <f>+Y27*E27</f>
        <v>0.19823750000000001</v>
      </c>
      <c r="AB27" s="139" t="s">
        <v>1775</v>
      </c>
      <c r="AC27" s="586" t="s">
        <v>1798</v>
      </c>
      <c r="AD27" s="704" t="s">
        <v>1860</v>
      </c>
      <c r="AE27" s="106"/>
      <c r="AF27" s="106"/>
    </row>
    <row r="28" spans="1:32" ht="94.95" customHeight="1" thickBot="1" x14ac:dyDescent="0.4">
      <c r="A28" s="233"/>
      <c r="B28" s="894" t="s">
        <v>49</v>
      </c>
      <c r="C28" s="894" t="s">
        <v>50</v>
      </c>
      <c r="D28" s="390" t="s">
        <v>48</v>
      </c>
      <c r="E28" s="286">
        <v>0.25</v>
      </c>
      <c r="F28" s="419">
        <v>400</v>
      </c>
      <c r="G28" s="420">
        <v>25</v>
      </c>
      <c r="H28" s="421">
        <v>120</v>
      </c>
      <c r="I28" s="422">
        <f>+G28/F28</f>
        <v>6.25E-2</v>
      </c>
      <c r="J28" s="425">
        <f t="shared" si="15"/>
        <v>0.3</v>
      </c>
      <c r="K28" s="422">
        <f>+(G28/F28)*E28</f>
        <v>1.5625E-2</v>
      </c>
      <c r="L28" s="425">
        <f t="shared" ref="L28:L29" si="26">+(H28/F28)*E28</f>
        <v>7.4999999999999997E-2</v>
      </c>
      <c r="M28" s="420">
        <v>30</v>
      </c>
      <c r="N28" s="481">
        <v>0</v>
      </c>
      <c r="O28" s="481">
        <v>45</v>
      </c>
      <c r="P28" s="421">
        <v>0</v>
      </c>
      <c r="Q28" s="421"/>
      <c r="R28" s="421">
        <f t="shared" ref="R28:R30" si="27">+N28+O28+P28+Q28</f>
        <v>45</v>
      </c>
      <c r="S28" s="421">
        <f t="shared" ref="S28:S30" si="28">+R28+M28</f>
        <v>75</v>
      </c>
      <c r="T28" s="422">
        <v>1</v>
      </c>
      <c r="U28" s="459">
        <f>+R28/H28</f>
        <v>0.375</v>
      </c>
      <c r="V28" s="474">
        <f>+T28*E28</f>
        <v>0.25</v>
      </c>
      <c r="W28" s="459">
        <f>+U28*E28</f>
        <v>9.375E-2</v>
      </c>
      <c r="X28" s="503">
        <f>+M28/F28</f>
        <v>7.4999999999999997E-2</v>
      </c>
      <c r="Y28" s="504">
        <f t="shared" si="2"/>
        <v>0.1875</v>
      </c>
      <c r="Z28" s="503">
        <f>+X28*E28</f>
        <v>1.8749999999999999E-2</v>
      </c>
      <c r="AA28" s="504">
        <f>+Y28*E28</f>
        <v>4.6875E-2</v>
      </c>
      <c r="AB28" s="139" t="s">
        <v>1775</v>
      </c>
      <c r="AC28" s="586" t="s">
        <v>1798</v>
      </c>
      <c r="AD28" s="704" t="s">
        <v>1860</v>
      </c>
      <c r="AE28" s="106"/>
      <c r="AF28" s="106"/>
    </row>
    <row r="29" spans="1:32" ht="94.95" customHeight="1" thickBot="1" x14ac:dyDescent="0.4">
      <c r="A29" s="233"/>
      <c r="B29" s="894" t="s">
        <v>51</v>
      </c>
      <c r="C29" s="894" t="s">
        <v>52</v>
      </c>
      <c r="D29" s="390" t="s">
        <v>48</v>
      </c>
      <c r="E29" s="286">
        <v>0.25</v>
      </c>
      <c r="F29" s="419">
        <v>1</v>
      </c>
      <c r="G29" s="420">
        <v>0.25</v>
      </c>
      <c r="H29" s="421">
        <v>0.25</v>
      </c>
      <c r="I29" s="422">
        <f>+G29/F29</f>
        <v>0.25</v>
      </c>
      <c r="J29" s="425">
        <f t="shared" si="15"/>
        <v>0.25</v>
      </c>
      <c r="K29" s="422">
        <f>+(G29/F29)*E29</f>
        <v>6.25E-2</v>
      </c>
      <c r="L29" s="425">
        <f t="shared" si="26"/>
        <v>6.25E-2</v>
      </c>
      <c r="M29" s="420">
        <v>0.25</v>
      </c>
      <c r="N29" s="481">
        <v>0.05</v>
      </c>
      <c r="O29" s="481">
        <v>0.1</v>
      </c>
      <c r="P29" s="421">
        <v>0.2</v>
      </c>
      <c r="Q29" s="421"/>
      <c r="R29" s="421">
        <f t="shared" si="27"/>
        <v>0.35000000000000003</v>
      </c>
      <c r="S29" s="421">
        <f t="shared" si="28"/>
        <v>0.60000000000000009</v>
      </c>
      <c r="T29" s="422">
        <f>+(M29/G29)</f>
        <v>1</v>
      </c>
      <c r="U29" s="459">
        <v>1</v>
      </c>
      <c r="V29" s="474">
        <f>+T29*E29</f>
        <v>0.25</v>
      </c>
      <c r="W29" s="459">
        <f t="shared" ref="W29" si="29">+U29*E29</f>
        <v>0.25</v>
      </c>
      <c r="X29" s="503">
        <f>+M29/F29</f>
        <v>0.25</v>
      </c>
      <c r="Y29" s="504">
        <f t="shared" si="2"/>
        <v>0.60000000000000009</v>
      </c>
      <c r="Z29" s="503">
        <f>+X29*E29</f>
        <v>6.25E-2</v>
      </c>
      <c r="AA29" s="504">
        <f>+Y29*E29</f>
        <v>0.15000000000000002</v>
      </c>
      <c r="AB29" s="139" t="s">
        <v>1775</v>
      </c>
      <c r="AC29" s="586" t="s">
        <v>1798</v>
      </c>
      <c r="AD29" s="704" t="s">
        <v>1860</v>
      </c>
      <c r="AE29" s="106"/>
      <c r="AF29" s="106"/>
    </row>
    <row r="30" spans="1:32" ht="94.95" customHeight="1" thickBot="1" x14ac:dyDescent="0.4">
      <c r="A30" s="233"/>
      <c r="B30" s="894" t="s">
        <v>53</v>
      </c>
      <c r="C30" s="894" t="s">
        <v>54</v>
      </c>
      <c r="D30" s="390" t="s">
        <v>48</v>
      </c>
      <c r="E30" s="286">
        <v>0.25</v>
      </c>
      <c r="F30" s="419">
        <v>180</v>
      </c>
      <c r="G30" s="420">
        <v>20</v>
      </c>
      <c r="H30" s="421">
        <v>50</v>
      </c>
      <c r="I30" s="422">
        <f>+G30/F30</f>
        <v>0.1111111111111111</v>
      </c>
      <c r="J30" s="425">
        <f t="shared" si="15"/>
        <v>0.27777777777777779</v>
      </c>
      <c r="K30" s="422">
        <f>+(G30/F30)*E30</f>
        <v>2.7777777777777776E-2</v>
      </c>
      <c r="L30" s="425">
        <f>+(H30/F30)*E30</f>
        <v>6.9444444444444448E-2</v>
      </c>
      <c r="M30" s="420">
        <v>20</v>
      </c>
      <c r="N30" s="481">
        <v>8</v>
      </c>
      <c r="O30" s="481">
        <v>80</v>
      </c>
      <c r="P30" s="421">
        <v>2</v>
      </c>
      <c r="Q30" s="421"/>
      <c r="R30" s="421">
        <f t="shared" si="27"/>
        <v>90</v>
      </c>
      <c r="S30" s="421">
        <f t="shared" si="28"/>
        <v>110</v>
      </c>
      <c r="T30" s="422">
        <f>+(M30/G30)</f>
        <v>1</v>
      </c>
      <c r="U30" s="459">
        <v>1</v>
      </c>
      <c r="V30" s="474">
        <f>+T30*E30</f>
        <v>0.25</v>
      </c>
      <c r="W30" s="459">
        <f>+U30*E30</f>
        <v>0.25</v>
      </c>
      <c r="X30" s="503">
        <f>+M30/F30</f>
        <v>0.1111111111111111</v>
      </c>
      <c r="Y30" s="504">
        <f t="shared" si="2"/>
        <v>0.61111111111111116</v>
      </c>
      <c r="Z30" s="503">
        <f>+X30*E30</f>
        <v>2.7777777777777776E-2</v>
      </c>
      <c r="AA30" s="504">
        <f>+Y30*E30</f>
        <v>0.15277777777777779</v>
      </c>
      <c r="AB30" s="139" t="s">
        <v>1775</v>
      </c>
      <c r="AC30" s="586" t="s">
        <v>1798</v>
      </c>
      <c r="AD30" s="704" t="s">
        <v>1860</v>
      </c>
      <c r="AE30" s="106"/>
      <c r="AF30" s="106"/>
    </row>
    <row r="31" spans="1:32" ht="94.95" customHeight="1" thickBot="1" x14ac:dyDescent="0.45">
      <c r="A31" s="233"/>
      <c r="B31" s="947" t="s">
        <v>55</v>
      </c>
      <c r="C31" s="945"/>
      <c r="D31" s="387"/>
      <c r="E31" s="427">
        <v>0.1</v>
      </c>
      <c r="F31" s="427">
        <f>+E31*V31</f>
        <v>6.4343375000000022E-2</v>
      </c>
      <c r="G31" s="418"/>
      <c r="H31" s="427">
        <f>E31*W31</f>
        <v>5.738521351981353E-2</v>
      </c>
      <c r="I31" s="412">
        <f>+(I32+I36+I39+I44+I52+I57+I77+I87)/8</f>
        <v>0.23923611111111112</v>
      </c>
      <c r="J31" s="412">
        <f>+(J32+J36+J39+J44+J52+J57+J77+J87)/8</f>
        <v>0.33642940083979328</v>
      </c>
      <c r="K31" s="413">
        <f>+(K32+K36+K39+K44+K52+K57+K77+K87)/8</f>
        <v>0.16062499999999999</v>
      </c>
      <c r="L31" s="413"/>
      <c r="M31" s="418"/>
      <c r="N31" s="424"/>
      <c r="O31" s="424"/>
      <c r="P31" s="424"/>
      <c r="Q31" s="424"/>
      <c r="R31" s="424"/>
      <c r="S31" s="424"/>
      <c r="T31" s="412">
        <f>+(T32+T36+T39+T44+T52+T57+T77+T87)/8</f>
        <v>0.90306155303030311</v>
      </c>
      <c r="U31" s="412">
        <f>+(U32+U36+U39+U44+U52+U57+U77+U87)/8</f>
        <v>0.65150808566433571</v>
      </c>
      <c r="V31" s="413">
        <f>+V32+V36+V39+V44+V52+V57+V77+V87</f>
        <v>0.64343375000000014</v>
      </c>
      <c r="W31" s="413">
        <f>+W32+W36+W39+W44+W52+W57+W77+W87</f>
        <v>0.57385213519813527</v>
      </c>
      <c r="X31" s="502">
        <f>+(X32+X36+X39+X44+X52+X57+X77+X87)/8</f>
        <v>0.25041408617424243</v>
      </c>
      <c r="Y31" s="498">
        <f>+(Y32+Y36+Y39+Y44+Y52+Y57+Y77+Y87)/8</f>
        <v>0.43227876176633451</v>
      </c>
      <c r="Z31" s="497">
        <f>+Z32+Z36+Z39+Z44+Z52+Z57+Z77+Z87</f>
        <v>0.19896443750000001</v>
      </c>
      <c r="AA31" s="615">
        <f>+(AA32*E32)+(AA36*E36)+(AA39*E39)+(AA44*E44)+(AA52*E52)+(AA57*E57)+(AA77*E77)+(AA87*E87)</f>
        <v>0.39974441860465121</v>
      </c>
      <c r="AB31" s="124"/>
      <c r="AC31" s="388"/>
      <c r="AD31" s="388"/>
      <c r="AE31" s="106"/>
      <c r="AF31" s="106"/>
    </row>
    <row r="32" spans="1:32" ht="94.95" customHeight="1" thickBot="1" x14ac:dyDescent="0.45">
      <c r="A32" s="233"/>
      <c r="B32" s="946" t="s">
        <v>1527</v>
      </c>
      <c r="C32" s="945"/>
      <c r="D32" s="389"/>
      <c r="E32" s="415">
        <v>0.15</v>
      </c>
      <c r="F32" s="418"/>
      <c r="G32" s="420"/>
      <c r="H32" s="421"/>
      <c r="I32" s="417">
        <f>+AVERAGE(I33:I35)</f>
        <v>0.17500000000000002</v>
      </c>
      <c r="J32" s="417">
        <f>+AVERAGE(J33:J35)</f>
        <v>0.25</v>
      </c>
      <c r="K32" s="417">
        <f>+K33+K34+K35</f>
        <v>0.1525</v>
      </c>
      <c r="L32" s="417">
        <f>+L33+L34+L35</f>
        <v>0.245</v>
      </c>
      <c r="M32" s="420"/>
      <c r="N32" s="421"/>
      <c r="O32" s="421"/>
      <c r="P32" s="421"/>
      <c r="Q32" s="421"/>
      <c r="R32" s="421"/>
      <c r="S32" s="421"/>
      <c r="T32" s="483">
        <f>+AVERAGE(T33:T35)</f>
        <v>1</v>
      </c>
      <c r="U32" s="483">
        <f>+AVERAGE(U33:U35)</f>
        <v>0.66666666666666663</v>
      </c>
      <c r="V32" s="483">
        <f>+(V33+V34+V35)*E32</f>
        <v>0.15</v>
      </c>
      <c r="W32" s="483">
        <f>+(W33+W34+W35)*E32</f>
        <v>0.13500000000000001</v>
      </c>
      <c r="X32" s="438">
        <f>+AVERAGE(X33:X35)</f>
        <v>0.36919999999999997</v>
      </c>
      <c r="Y32" s="499">
        <f>+AVERAGE(Y33:Y35)</f>
        <v>0.58366666666666667</v>
      </c>
      <c r="Z32" s="438">
        <f>+(Z33+Z34+Z35)*E32</f>
        <v>6.1731000000000001E-2</v>
      </c>
      <c r="AA32" s="499">
        <f>+(AA33+AA34+AA35)</f>
        <v>0.69990000000000008</v>
      </c>
      <c r="AB32" s="132"/>
      <c r="AC32" s="388"/>
      <c r="AD32" s="388"/>
      <c r="AE32" s="106"/>
      <c r="AF32" s="106"/>
    </row>
    <row r="33" spans="1:32" ht="94.95" customHeight="1" thickBot="1" x14ac:dyDescent="0.4">
      <c r="A33" s="233"/>
      <c r="B33" s="894" t="s">
        <v>56</v>
      </c>
      <c r="C33" s="894" t="s">
        <v>57</v>
      </c>
      <c r="D33" s="390" t="s">
        <v>58</v>
      </c>
      <c r="E33" s="428">
        <v>0.4</v>
      </c>
      <c r="F33" s="419">
        <v>5000</v>
      </c>
      <c r="G33" s="420">
        <v>500</v>
      </c>
      <c r="H33" s="421">
        <v>1500</v>
      </c>
      <c r="I33" s="422">
        <f>+G33/F33</f>
        <v>0.1</v>
      </c>
      <c r="J33" s="425">
        <f t="shared" ref="J33:J43" si="30">+H33/F33</f>
        <v>0.3</v>
      </c>
      <c r="K33" s="422">
        <f>+(G33/F33)*E33</f>
        <v>4.0000000000000008E-2</v>
      </c>
      <c r="L33" s="425">
        <f>+(H33/F33)*E33</f>
        <v>0.12</v>
      </c>
      <c r="M33" s="420">
        <v>2113</v>
      </c>
      <c r="N33" s="481">
        <v>950</v>
      </c>
      <c r="O33" s="481">
        <v>361</v>
      </c>
      <c r="P33" s="481">
        <v>356</v>
      </c>
      <c r="Q33" s="421"/>
      <c r="R33" s="421">
        <f t="shared" ref="R33" si="31">+N33+O33+P33+Q33</f>
        <v>1667</v>
      </c>
      <c r="S33" s="421">
        <f t="shared" ref="S33" si="32">+R33+M33</f>
        <v>3780</v>
      </c>
      <c r="T33" s="422">
        <v>1</v>
      </c>
      <c r="U33" s="459">
        <v>1</v>
      </c>
      <c r="V33" s="474">
        <f>+T33*E33</f>
        <v>0.4</v>
      </c>
      <c r="W33" s="459">
        <f>+U33*E33</f>
        <v>0.4</v>
      </c>
      <c r="X33" s="503">
        <f>+M33/F33</f>
        <v>0.42259999999999998</v>
      </c>
      <c r="Y33" s="504">
        <f t="shared" ref="Y33:Y35" si="33">+S33/F33</f>
        <v>0.75600000000000001</v>
      </c>
      <c r="Z33" s="442">
        <f>+X33*E33</f>
        <v>0.16904</v>
      </c>
      <c r="AA33" s="443">
        <f>+Y33*E33</f>
        <v>0.3024</v>
      </c>
      <c r="AB33" s="139" t="s">
        <v>1775</v>
      </c>
      <c r="AC33" s="586" t="s">
        <v>1798</v>
      </c>
      <c r="AD33" s="704" t="s">
        <v>1860</v>
      </c>
      <c r="AE33" s="106"/>
      <c r="AF33" s="106"/>
    </row>
    <row r="34" spans="1:32" ht="94.95" customHeight="1" thickBot="1" x14ac:dyDescent="0.4">
      <c r="A34" s="233"/>
      <c r="B34" s="894" t="s">
        <v>59</v>
      </c>
      <c r="C34" s="894" t="s">
        <v>60</v>
      </c>
      <c r="D34" s="390" t="s">
        <v>58</v>
      </c>
      <c r="E34" s="428">
        <v>0.5</v>
      </c>
      <c r="F34" s="419">
        <v>200</v>
      </c>
      <c r="G34" s="420">
        <v>35</v>
      </c>
      <c r="H34" s="421">
        <v>40</v>
      </c>
      <c r="I34" s="422">
        <f>+G34/F34</f>
        <v>0.17499999999999999</v>
      </c>
      <c r="J34" s="425">
        <f t="shared" si="30"/>
        <v>0.2</v>
      </c>
      <c r="K34" s="422">
        <f>+(G34/F34)*E34</f>
        <v>8.7499999999999994E-2</v>
      </c>
      <c r="L34" s="425">
        <f t="shared" ref="L34:L90" si="34">+(H34/F34)*E34</f>
        <v>0.1</v>
      </c>
      <c r="M34" s="420">
        <v>87</v>
      </c>
      <c r="N34" s="481">
        <v>27</v>
      </c>
      <c r="O34" s="481">
        <v>35</v>
      </c>
      <c r="P34" s="481">
        <v>0</v>
      </c>
      <c r="Q34" s="421"/>
      <c r="R34" s="421">
        <f t="shared" ref="R34:R35" si="35">+N34+O34+P34+Q34</f>
        <v>62</v>
      </c>
      <c r="S34" s="421">
        <f t="shared" ref="S34:S35" si="36">+R34+M34</f>
        <v>149</v>
      </c>
      <c r="T34" s="422">
        <v>1</v>
      </c>
      <c r="U34" s="459">
        <v>1</v>
      </c>
      <c r="V34" s="474">
        <f>+T34*E34</f>
        <v>0.5</v>
      </c>
      <c r="W34" s="459">
        <f t="shared" ref="W34:W35" si="37">+U34*E34</f>
        <v>0.5</v>
      </c>
      <c r="X34" s="503">
        <f>+M34/F34</f>
        <v>0.435</v>
      </c>
      <c r="Y34" s="504">
        <f t="shared" si="33"/>
        <v>0.745</v>
      </c>
      <c r="Z34" s="442">
        <f>+X34*E34</f>
        <v>0.2175</v>
      </c>
      <c r="AA34" s="443">
        <f>+Y34*E34</f>
        <v>0.3725</v>
      </c>
      <c r="AB34" s="139" t="s">
        <v>1775</v>
      </c>
      <c r="AC34" s="586" t="s">
        <v>1798</v>
      </c>
      <c r="AD34" s="704" t="s">
        <v>1860</v>
      </c>
      <c r="AE34" s="106"/>
      <c r="AF34" s="106"/>
    </row>
    <row r="35" spans="1:32" ht="108.6" customHeight="1" thickBot="1" x14ac:dyDescent="0.4">
      <c r="A35" s="233"/>
      <c r="B35" s="894" t="s">
        <v>61</v>
      </c>
      <c r="C35" s="894" t="s">
        <v>62</v>
      </c>
      <c r="D35" s="390" t="s">
        <v>58</v>
      </c>
      <c r="E35" s="428">
        <v>0.1</v>
      </c>
      <c r="F35" s="419">
        <v>4</v>
      </c>
      <c r="G35" s="420">
        <v>1</v>
      </c>
      <c r="H35" s="421">
        <v>1</v>
      </c>
      <c r="I35" s="422">
        <f>+G35/F35</f>
        <v>0.25</v>
      </c>
      <c r="J35" s="425">
        <f t="shared" si="30"/>
        <v>0.25</v>
      </c>
      <c r="K35" s="422">
        <f>+(G35/F35)*E35</f>
        <v>2.5000000000000001E-2</v>
      </c>
      <c r="L35" s="425">
        <f t="shared" si="34"/>
        <v>2.5000000000000001E-2</v>
      </c>
      <c r="M35" s="420">
        <v>1</v>
      </c>
      <c r="N35" s="481">
        <v>0</v>
      </c>
      <c r="O35" s="481">
        <v>0</v>
      </c>
      <c r="P35" s="481">
        <v>0</v>
      </c>
      <c r="Q35" s="421"/>
      <c r="R35" s="421">
        <f t="shared" si="35"/>
        <v>0</v>
      </c>
      <c r="S35" s="421">
        <f t="shared" si="36"/>
        <v>1</v>
      </c>
      <c r="T35" s="422">
        <f>+(M35/G35)</f>
        <v>1</v>
      </c>
      <c r="U35" s="459">
        <f>+R35/H35</f>
        <v>0</v>
      </c>
      <c r="V35" s="474">
        <f>+T35*E35</f>
        <v>0.1</v>
      </c>
      <c r="W35" s="459">
        <f t="shared" si="37"/>
        <v>0</v>
      </c>
      <c r="X35" s="503">
        <f>+M35/F35</f>
        <v>0.25</v>
      </c>
      <c r="Y35" s="504">
        <f t="shared" si="33"/>
        <v>0.25</v>
      </c>
      <c r="Z35" s="442">
        <f>+X35*E35</f>
        <v>2.5000000000000001E-2</v>
      </c>
      <c r="AA35" s="443">
        <f>+Y35*E35</f>
        <v>2.5000000000000001E-2</v>
      </c>
      <c r="AB35" s="139" t="s">
        <v>1775</v>
      </c>
      <c r="AC35" s="586" t="s">
        <v>1798</v>
      </c>
      <c r="AD35" s="704" t="s">
        <v>1860</v>
      </c>
      <c r="AE35" s="106"/>
      <c r="AF35" s="106"/>
    </row>
    <row r="36" spans="1:32" ht="62.25" customHeight="1" thickBot="1" x14ac:dyDescent="0.45">
      <c r="A36" s="233"/>
      <c r="B36" s="946" t="s">
        <v>1528</v>
      </c>
      <c r="C36" s="945"/>
      <c r="D36" s="390"/>
      <c r="E36" s="415">
        <v>0.1</v>
      </c>
      <c r="F36" s="418"/>
      <c r="G36" s="418"/>
      <c r="H36" s="424"/>
      <c r="I36" s="417">
        <f>+AVERAGE(I37:I38)</f>
        <v>0.25</v>
      </c>
      <c r="J36" s="417">
        <f>+AVERAGE(J37:J38)</f>
        <v>0.21249999999999999</v>
      </c>
      <c r="K36" s="417">
        <f>+K37+K38</f>
        <v>0.25</v>
      </c>
      <c r="L36" s="417">
        <f>+L37+L38</f>
        <v>0.19</v>
      </c>
      <c r="M36" s="418"/>
      <c r="N36" s="424"/>
      <c r="O36" s="424"/>
      <c r="P36" s="424"/>
      <c r="Q36" s="424"/>
      <c r="R36" s="424"/>
      <c r="S36" s="424"/>
      <c r="T36" s="483">
        <f>+AVERAGE(T37:T38)</f>
        <v>1</v>
      </c>
      <c r="U36" s="483">
        <f>+AVERAGE(U37:U38)</f>
        <v>1</v>
      </c>
      <c r="V36" s="483">
        <f>+(V37+V38)*E36</f>
        <v>0.1</v>
      </c>
      <c r="W36" s="483">
        <f>+(W37+W38)*E36</f>
        <v>0.1</v>
      </c>
      <c r="X36" s="438">
        <f>+AVERAGE(X37:X38)</f>
        <v>0.33499999999999996</v>
      </c>
      <c r="Y36" s="499">
        <f>+AVERAGE(Y37:Y38)</f>
        <v>0.54749999999999999</v>
      </c>
      <c r="Z36" s="438">
        <f>+(Z37+Z38)*E36</f>
        <v>3.8600000000000002E-2</v>
      </c>
      <c r="AA36" s="499">
        <f>+(AA37+AA38)</f>
        <v>0.57599999999999996</v>
      </c>
      <c r="AB36" s="132"/>
      <c r="AC36" s="388"/>
      <c r="AD36" s="388"/>
      <c r="AE36" s="106"/>
      <c r="AF36" s="106"/>
    </row>
    <row r="37" spans="1:32" ht="103.2" customHeight="1" thickBot="1" x14ac:dyDescent="0.4">
      <c r="A37" s="233"/>
      <c r="B37" s="894" t="s">
        <v>63</v>
      </c>
      <c r="C37" s="894" t="s">
        <v>64</v>
      </c>
      <c r="D37" s="390" t="s">
        <v>58</v>
      </c>
      <c r="E37" s="286">
        <v>0.8</v>
      </c>
      <c r="F37" s="419">
        <v>200</v>
      </c>
      <c r="G37" s="420">
        <v>50</v>
      </c>
      <c r="H37" s="421">
        <v>35</v>
      </c>
      <c r="I37" s="422">
        <f>+G37/F37</f>
        <v>0.25</v>
      </c>
      <c r="J37" s="425">
        <f t="shared" si="30"/>
        <v>0.17499999999999999</v>
      </c>
      <c r="K37" s="422">
        <f>+(G37/F37)*E37</f>
        <v>0.2</v>
      </c>
      <c r="L37" s="425">
        <f t="shared" si="34"/>
        <v>0.13999999999999999</v>
      </c>
      <c r="M37" s="420">
        <v>84</v>
      </c>
      <c r="N37" s="481">
        <v>0</v>
      </c>
      <c r="O37" s="481">
        <v>0</v>
      </c>
      <c r="P37" s="481">
        <v>35</v>
      </c>
      <c r="Q37" s="421"/>
      <c r="R37" s="421">
        <f t="shared" ref="R37" si="38">+N37+O37+P37+Q37</f>
        <v>35</v>
      </c>
      <c r="S37" s="421">
        <f t="shared" ref="S37" si="39">+R37+M37</f>
        <v>119</v>
      </c>
      <c r="T37" s="422">
        <v>1</v>
      </c>
      <c r="U37" s="425">
        <f>+R37/H37</f>
        <v>1</v>
      </c>
      <c r="V37" s="422">
        <f>+T37*E37</f>
        <v>0.8</v>
      </c>
      <c r="W37" s="425">
        <f>+U37*E37</f>
        <v>0.8</v>
      </c>
      <c r="X37" s="503">
        <f>+M37/F37</f>
        <v>0.42</v>
      </c>
      <c r="Y37" s="504">
        <f>+S37/F37</f>
        <v>0.59499999999999997</v>
      </c>
      <c r="Z37" s="442">
        <f>+X37*E37</f>
        <v>0.33600000000000002</v>
      </c>
      <c r="AA37" s="443">
        <f>+Y37*E37</f>
        <v>0.47599999999999998</v>
      </c>
      <c r="AB37" s="139" t="s">
        <v>1775</v>
      </c>
      <c r="AC37" s="586" t="s">
        <v>1798</v>
      </c>
      <c r="AD37" s="704" t="s">
        <v>1860</v>
      </c>
      <c r="AE37" s="106"/>
      <c r="AF37" s="106"/>
    </row>
    <row r="38" spans="1:32" ht="84.6" customHeight="1" thickBot="1" x14ac:dyDescent="0.4">
      <c r="A38" s="233"/>
      <c r="B38" s="894" t="s">
        <v>65</v>
      </c>
      <c r="C38" s="894" t="s">
        <v>66</v>
      </c>
      <c r="D38" s="390" t="s">
        <v>58</v>
      </c>
      <c r="E38" s="286">
        <v>0.2</v>
      </c>
      <c r="F38" s="419">
        <v>4</v>
      </c>
      <c r="G38" s="420">
        <v>1</v>
      </c>
      <c r="H38" s="421">
        <v>1</v>
      </c>
      <c r="I38" s="422">
        <f>+G38/F38</f>
        <v>0.25</v>
      </c>
      <c r="J38" s="425">
        <f t="shared" si="30"/>
        <v>0.25</v>
      </c>
      <c r="K38" s="422">
        <f>+(G38/F38)*E38</f>
        <v>0.05</v>
      </c>
      <c r="L38" s="425">
        <f t="shared" si="34"/>
        <v>0.05</v>
      </c>
      <c r="M38" s="420">
        <v>1</v>
      </c>
      <c r="N38" s="481">
        <v>0</v>
      </c>
      <c r="O38" s="481">
        <v>0</v>
      </c>
      <c r="P38" s="481">
        <v>1</v>
      </c>
      <c r="Q38" s="421"/>
      <c r="R38" s="421">
        <f t="shared" ref="R38" si="40">+N38+O38+P38+Q38</f>
        <v>1</v>
      </c>
      <c r="S38" s="421">
        <f t="shared" ref="S38" si="41">+R38+M38</f>
        <v>2</v>
      </c>
      <c r="T38" s="422">
        <f>+(M38/G38)</f>
        <v>1</v>
      </c>
      <c r="U38" s="425">
        <f>+R38/H38</f>
        <v>1</v>
      </c>
      <c r="V38" s="422">
        <f>+T38*E38</f>
        <v>0.2</v>
      </c>
      <c r="W38" s="425">
        <f>+U38*E38</f>
        <v>0.2</v>
      </c>
      <c r="X38" s="503">
        <f>+M38/F38</f>
        <v>0.25</v>
      </c>
      <c r="Y38" s="504">
        <f>+S38/F38</f>
        <v>0.5</v>
      </c>
      <c r="Z38" s="442">
        <f>+X38*E38</f>
        <v>0.05</v>
      </c>
      <c r="AA38" s="443">
        <f>+Y38*E38</f>
        <v>0.1</v>
      </c>
      <c r="AB38" s="139" t="s">
        <v>1775</v>
      </c>
      <c r="AC38" s="586" t="s">
        <v>1798</v>
      </c>
      <c r="AD38" s="704" t="s">
        <v>1860</v>
      </c>
      <c r="AE38" s="106"/>
      <c r="AF38" s="106"/>
    </row>
    <row r="39" spans="1:32" ht="46.5" customHeight="1" thickBot="1" x14ac:dyDescent="0.45">
      <c r="A39" s="233"/>
      <c r="B39" s="946" t="s">
        <v>1529</v>
      </c>
      <c r="C39" s="945"/>
      <c r="D39" s="390"/>
      <c r="E39" s="415">
        <v>0.15</v>
      </c>
      <c r="F39" s="418"/>
      <c r="G39" s="420"/>
      <c r="H39" s="421"/>
      <c r="I39" s="417">
        <f>+AVERAGE(I40:I43)</f>
        <v>0.18333333333333335</v>
      </c>
      <c r="J39" s="417">
        <f>+AVERAGE(J40:J43)</f>
        <v>0.3520833333333333</v>
      </c>
      <c r="K39" s="417">
        <f>+K40+K41+K42+K43</f>
        <v>0.18333333333333335</v>
      </c>
      <c r="L39" s="417">
        <f>+L40+L41+L42+L43</f>
        <v>0.31458333333333333</v>
      </c>
      <c r="M39" s="418"/>
      <c r="N39" s="424"/>
      <c r="O39" s="424"/>
      <c r="P39" s="424"/>
      <c r="Q39" s="424"/>
      <c r="R39" s="424"/>
      <c r="S39" s="424"/>
      <c r="T39" s="483">
        <f>+AVERAGE(T40:T43)</f>
        <v>1</v>
      </c>
      <c r="U39" s="483">
        <f>+AVERAGE(U40:U43)</f>
        <v>0.6</v>
      </c>
      <c r="V39" s="483">
        <f>+(V40+V41+V42+V43)*E39</f>
        <v>0.15</v>
      </c>
      <c r="W39" s="483">
        <f>+(W40+W41+W42+W43)*E39</f>
        <v>9.8999999999999991E-2</v>
      </c>
      <c r="X39" s="438">
        <f>+AVERAGE(X40:X43)</f>
        <v>0.27083333333333337</v>
      </c>
      <c r="Y39" s="499">
        <f>+AVERAGE(Y40:Y43)</f>
        <v>0.5</v>
      </c>
      <c r="Z39" s="438">
        <f>+(Z40+Z41+Z42+Z43)*E39</f>
        <v>3.6874999999999998E-2</v>
      </c>
      <c r="AA39" s="499">
        <f>+(AA40+AA41+AA42+AA43)</f>
        <v>0.47499999999999998</v>
      </c>
      <c r="AB39" s="132"/>
      <c r="AC39" s="388"/>
      <c r="AD39" s="388"/>
      <c r="AE39" s="106"/>
      <c r="AF39" s="106"/>
    </row>
    <row r="40" spans="1:32" ht="89.4" customHeight="1" thickBot="1" x14ac:dyDescent="0.4">
      <c r="A40" s="233"/>
      <c r="B40" s="397" t="s">
        <v>67</v>
      </c>
      <c r="C40" s="397" t="s">
        <v>68</v>
      </c>
      <c r="D40" s="390" t="s">
        <v>12</v>
      </c>
      <c r="E40" s="286">
        <v>0.35</v>
      </c>
      <c r="F40" s="419">
        <v>4</v>
      </c>
      <c r="G40" s="420">
        <v>1</v>
      </c>
      <c r="H40" s="421">
        <v>1</v>
      </c>
      <c r="I40" s="422">
        <f>+G40/F40</f>
        <v>0.25</v>
      </c>
      <c r="J40" s="425">
        <f t="shared" si="30"/>
        <v>0.25</v>
      </c>
      <c r="K40" s="422">
        <f>+(G40/F40)*E40</f>
        <v>8.7499999999999994E-2</v>
      </c>
      <c r="L40" s="425">
        <f t="shared" si="34"/>
        <v>8.7499999999999994E-2</v>
      </c>
      <c r="M40" s="420">
        <v>1</v>
      </c>
      <c r="N40" s="481">
        <v>0</v>
      </c>
      <c r="O40" s="481">
        <v>1</v>
      </c>
      <c r="P40" s="481">
        <v>0</v>
      </c>
      <c r="Q40" s="421"/>
      <c r="R40" s="421">
        <f t="shared" ref="R40" si="42">+N40+O40+P40+Q40</f>
        <v>1</v>
      </c>
      <c r="S40" s="421">
        <f t="shared" ref="S40" si="43">+R40+M40</f>
        <v>2</v>
      </c>
      <c r="T40" s="422">
        <f>+(M40/G40)</f>
        <v>1</v>
      </c>
      <c r="U40" s="425">
        <f>+R40/H40</f>
        <v>1</v>
      </c>
      <c r="V40" s="422">
        <f>+T40*E40</f>
        <v>0.35</v>
      </c>
      <c r="W40" s="425">
        <f>+U40*E40</f>
        <v>0.35</v>
      </c>
      <c r="X40" s="503">
        <f>+M40/F40</f>
        <v>0.25</v>
      </c>
      <c r="Y40" s="504">
        <f>+S40/F40</f>
        <v>0.5</v>
      </c>
      <c r="Z40" s="442">
        <f>+X40*E40</f>
        <v>8.7499999999999994E-2</v>
      </c>
      <c r="AA40" s="443">
        <f>+Y40*E40</f>
        <v>0.17499999999999999</v>
      </c>
      <c r="AB40" s="139" t="s">
        <v>1775</v>
      </c>
      <c r="AC40" s="586" t="s">
        <v>1798</v>
      </c>
      <c r="AD40" s="704" t="s">
        <v>1860</v>
      </c>
      <c r="AE40" s="106"/>
      <c r="AF40" s="106"/>
    </row>
    <row r="41" spans="1:32" ht="64.2" customHeight="1" thickBot="1" x14ac:dyDescent="0.4">
      <c r="A41" s="233"/>
      <c r="B41" s="894" t="s">
        <v>69</v>
      </c>
      <c r="C41" s="894" t="s">
        <v>70</v>
      </c>
      <c r="D41" s="390" t="s">
        <v>12</v>
      </c>
      <c r="E41" s="286">
        <v>0.25</v>
      </c>
      <c r="F41" s="419">
        <v>20</v>
      </c>
      <c r="G41" s="420">
        <v>3</v>
      </c>
      <c r="H41" s="421">
        <v>4</v>
      </c>
      <c r="I41" s="429">
        <f>+G41/F41</f>
        <v>0.15</v>
      </c>
      <c r="J41" s="425">
        <f t="shared" si="30"/>
        <v>0.2</v>
      </c>
      <c r="K41" s="429">
        <f>+(G41/F41)*E41</f>
        <v>3.7499999999999999E-2</v>
      </c>
      <c r="L41" s="425">
        <f t="shared" si="34"/>
        <v>0.05</v>
      </c>
      <c r="M41" s="430">
        <v>5</v>
      </c>
      <c r="N41" s="481">
        <v>0</v>
      </c>
      <c r="O41" s="484">
        <v>0</v>
      </c>
      <c r="P41" s="484">
        <v>0</v>
      </c>
      <c r="Q41" s="430"/>
      <c r="R41" s="421">
        <f t="shared" ref="R41:R43" si="44">+N41+O41+P41+Q41</f>
        <v>0</v>
      </c>
      <c r="S41" s="421">
        <f t="shared" ref="S41:S43" si="45">+R41+M41</f>
        <v>5</v>
      </c>
      <c r="T41" s="422">
        <v>1</v>
      </c>
      <c r="U41" s="425">
        <f t="shared" ref="U41:U70" si="46">+R41/H41</f>
        <v>0</v>
      </c>
      <c r="V41" s="422">
        <f>+T41*E41</f>
        <v>0.25</v>
      </c>
      <c r="W41" s="425">
        <f t="shared" ref="W41:W89" si="47">+U41*E41</f>
        <v>0</v>
      </c>
      <c r="X41" s="503">
        <f>+M41/F41</f>
        <v>0.25</v>
      </c>
      <c r="Y41" s="504">
        <f t="shared" ref="Y41:Y73" si="48">+S41/F41</f>
        <v>0.25</v>
      </c>
      <c r="Z41" s="442">
        <f>+X41*E41</f>
        <v>6.25E-2</v>
      </c>
      <c r="AA41" s="443">
        <f>+Y41*E41</f>
        <v>6.25E-2</v>
      </c>
      <c r="AB41" s="139" t="s">
        <v>1775</v>
      </c>
      <c r="AC41" s="586" t="s">
        <v>1798</v>
      </c>
      <c r="AD41" s="704" t="s">
        <v>1860</v>
      </c>
      <c r="AE41" s="106"/>
      <c r="AF41" s="106"/>
    </row>
    <row r="42" spans="1:32" ht="74.400000000000006" customHeight="1" thickBot="1" x14ac:dyDescent="0.4">
      <c r="A42" s="233"/>
      <c r="B42" s="894" t="s">
        <v>71</v>
      </c>
      <c r="C42" s="894" t="s">
        <v>72</v>
      </c>
      <c r="D42" s="390" t="s">
        <v>12</v>
      </c>
      <c r="E42" s="286">
        <v>0.25</v>
      </c>
      <c r="F42" s="419">
        <v>12</v>
      </c>
      <c r="G42" s="420">
        <v>1</v>
      </c>
      <c r="H42" s="431">
        <v>4</v>
      </c>
      <c r="I42" s="432">
        <f>+G42/F42</f>
        <v>8.3333333333333329E-2</v>
      </c>
      <c r="J42" s="425">
        <f t="shared" si="30"/>
        <v>0.33333333333333331</v>
      </c>
      <c r="K42" s="433">
        <f>+(G42/F42)*E42</f>
        <v>2.0833333333333332E-2</v>
      </c>
      <c r="L42" s="425">
        <f t="shared" si="34"/>
        <v>8.3333333333333329E-2</v>
      </c>
      <c r="M42" s="434">
        <v>1</v>
      </c>
      <c r="N42" s="484">
        <v>0</v>
      </c>
      <c r="O42" s="812">
        <v>2</v>
      </c>
      <c r="P42" s="812">
        <v>3</v>
      </c>
      <c r="Q42" s="434"/>
      <c r="R42" s="430">
        <f t="shared" si="44"/>
        <v>5</v>
      </c>
      <c r="S42" s="421">
        <f t="shared" si="45"/>
        <v>6</v>
      </c>
      <c r="T42" s="422">
        <f>+(M42/G42)</f>
        <v>1</v>
      </c>
      <c r="U42" s="425">
        <v>1</v>
      </c>
      <c r="V42" s="422">
        <f>+T42*E42</f>
        <v>0.25</v>
      </c>
      <c r="W42" s="425">
        <f t="shared" si="47"/>
        <v>0.25</v>
      </c>
      <c r="X42" s="503">
        <f>+M42/F42</f>
        <v>8.3333333333333329E-2</v>
      </c>
      <c r="Y42" s="504">
        <f t="shared" si="48"/>
        <v>0.5</v>
      </c>
      <c r="Z42" s="442">
        <f>+X42*E42</f>
        <v>2.0833333333333332E-2</v>
      </c>
      <c r="AA42" s="443">
        <f>+Y42*E42</f>
        <v>0.125</v>
      </c>
      <c r="AB42" s="139" t="s">
        <v>1775</v>
      </c>
      <c r="AC42" s="586" t="s">
        <v>1798</v>
      </c>
      <c r="AD42" s="704" t="s">
        <v>1860</v>
      </c>
      <c r="AE42" s="106"/>
      <c r="AF42" s="106"/>
    </row>
    <row r="43" spans="1:32" ht="90" customHeight="1" thickBot="1" x14ac:dyDescent="0.4">
      <c r="A43" s="233"/>
      <c r="B43" s="397" t="s">
        <v>73</v>
      </c>
      <c r="C43" s="397" t="s">
        <v>74</v>
      </c>
      <c r="D43" s="390" t="s">
        <v>31</v>
      </c>
      <c r="E43" s="286">
        <v>0.15</v>
      </c>
      <c r="F43" s="419">
        <v>8</v>
      </c>
      <c r="G43" s="420">
        <v>2</v>
      </c>
      <c r="H43" s="431">
        <v>5</v>
      </c>
      <c r="I43" s="435">
        <f>+G43/F43</f>
        <v>0.25</v>
      </c>
      <c r="J43" s="425">
        <f t="shared" si="30"/>
        <v>0.625</v>
      </c>
      <c r="K43" s="429">
        <f>+(G43/F43)*E43</f>
        <v>3.7499999999999999E-2</v>
      </c>
      <c r="L43" s="425">
        <f t="shared" si="34"/>
        <v>9.375E-2</v>
      </c>
      <c r="M43" s="436">
        <v>4</v>
      </c>
      <c r="N43" s="485">
        <v>0</v>
      </c>
      <c r="O43" s="485">
        <v>2</v>
      </c>
      <c r="P43" s="485"/>
      <c r="Q43" s="436"/>
      <c r="R43" s="486">
        <f t="shared" si="44"/>
        <v>2</v>
      </c>
      <c r="S43" s="421">
        <f t="shared" si="45"/>
        <v>6</v>
      </c>
      <c r="T43" s="422">
        <v>1</v>
      </c>
      <c r="U43" s="425">
        <f t="shared" si="46"/>
        <v>0.4</v>
      </c>
      <c r="V43" s="422">
        <f>+T43*E43</f>
        <v>0.15</v>
      </c>
      <c r="W43" s="425">
        <f t="shared" si="47"/>
        <v>0.06</v>
      </c>
      <c r="X43" s="503">
        <f>+M43/F43</f>
        <v>0.5</v>
      </c>
      <c r="Y43" s="506">
        <f t="shared" si="48"/>
        <v>0.75</v>
      </c>
      <c r="Z43" s="442">
        <f>+X43*E43</f>
        <v>7.4999999999999997E-2</v>
      </c>
      <c r="AA43" s="443">
        <f>+Y43*E43</f>
        <v>0.11249999999999999</v>
      </c>
      <c r="AB43" s="139" t="s">
        <v>1775</v>
      </c>
      <c r="AC43" s="586" t="s">
        <v>1798</v>
      </c>
      <c r="AD43" s="704" t="s">
        <v>1860</v>
      </c>
      <c r="AE43" s="106"/>
      <c r="AF43" s="106"/>
    </row>
    <row r="44" spans="1:32" ht="100.5" customHeight="1" thickBot="1" x14ac:dyDescent="0.45">
      <c r="A44" s="233"/>
      <c r="B44" s="946" t="s">
        <v>1530</v>
      </c>
      <c r="C44" s="945"/>
      <c r="D44" s="390"/>
      <c r="E44" s="415">
        <v>0.15</v>
      </c>
      <c r="F44" s="418"/>
      <c r="G44" s="420"/>
      <c r="H44" s="431"/>
      <c r="I44" s="437">
        <f>+AVERAGE(I45:I51)</f>
        <v>0.30555555555555552</v>
      </c>
      <c r="J44" s="438">
        <f>+AVERAGE(J45:J51)</f>
        <v>0.6347222222222223</v>
      </c>
      <c r="K44" s="439">
        <f>+K45+K46+K47+K48+K49+K50+K51</f>
        <v>0.16666666666666666</v>
      </c>
      <c r="L44" s="440">
        <f>+L45+L46+L47+L48+L49+L50+L51</f>
        <v>0.53083333333333338</v>
      </c>
      <c r="M44" s="441"/>
      <c r="N44" s="487"/>
      <c r="O44" s="487"/>
      <c r="P44" s="488"/>
      <c r="Q44" s="487"/>
      <c r="R44" s="488"/>
      <c r="S44" s="487"/>
      <c r="T44" s="483">
        <f>+AVERAGE(T45:T51)</f>
        <v>0.33333333333333331</v>
      </c>
      <c r="U44" s="483">
        <f>+AVERAGE(U45:U51)</f>
        <v>0.41666666666666669</v>
      </c>
      <c r="V44" s="483">
        <f>+(V45+V46+V47+V48+V49+V50+V51)*E44</f>
        <v>1.4999999999999999E-2</v>
      </c>
      <c r="W44" s="483">
        <f>+(W45+W46+W47+W48+W49+W50+W51)*E44</f>
        <v>3.7499999999999999E-2</v>
      </c>
      <c r="X44" s="438">
        <f>+AVERAGE(X45:X51)</f>
        <v>8.3333333333333329E-2</v>
      </c>
      <c r="Y44" s="508">
        <f>+X44+((Y45/7)+(Y46/7)+(Y47/7)+(Y48/7)+(Y49/7)+(Y50/7)+((Y51-X51)/7))</f>
        <v>0.31845238095238093</v>
      </c>
      <c r="Z44" s="438">
        <f>+(Z45+Z46+Z47+Z48+Z49+Z50+Z51)*E44</f>
        <v>3.7499999999999999E-3</v>
      </c>
      <c r="AA44" s="499">
        <f>+(AA45+AA46+AA47+AA48+AA49+AA50+AA51)</f>
        <v>0.18958333333333335</v>
      </c>
      <c r="AB44" s="132"/>
      <c r="AC44" s="388"/>
      <c r="AD44" s="388"/>
      <c r="AE44" s="106"/>
      <c r="AF44" s="106"/>
    </row>
    <row r="45" spans="1:32" ht="138" customHeight="1" thickBot="1" x14ac:dyDescent="0.4">
      <c r="A45" s="233"/>
      <c r="B45" s="894" t="s">
        <v>75</v>
      </c>
      <c r="C45" s="894" t="s">
        <v>76</v>
      </c>
      <c r="D45" s="390" t="s">
        <v>12</v>
      </c>
      <c r="E45" s="286">
        <v>0.25</v>
      </c>
      <c r="F45" s="419">
        <v>2</v>
      </c>
      <c r="G45" s="420">
        <v>1</v>
      </c>
      <c r="H45" s="814">
        <v>2</v>
      </c>
      <c r="I45" s="435">
        <f t="shared" ref="I45:I51" si="49">+G45/F45</f>
        <v>0.5</v>
      </c>
      <c r="J45" s="442">
        <f>+H45/F45</f>
        <v>1</v>
      </c>
      <c r="K45" s="443">
        <f t="shared" ref="K45:K51" si="50">+(G45/F45)*E45</f>
        <v>0.125</v>
      </c>
      <c r="L45" s="444">
        <f>+(H45/F45)*E45</f>
        <v>0.25</v>
      </c>
      <c r="M45" s="445">
        <v>0</v>
      </c>
      <c r="N45" s="485">
        <v>0</v>
      </c>
      <c r="O45" s="813">
        <v>0</v>
      </c>
      <c r="P45" s="883">
        <v>0</v>
      </c>
      <c r="Q45" s="489"/>
      <c r="R45" s="446">
        <f t="shared" ref="R45" si="51">+N45+O45+P45+Q45</f>
        <v>0</v>
      </c>
      <c r="S45" s="490">
        <f>+R45+M45</f>
        <v>0</v>
      </c>
      <c r="T45" s="422">
        <f t="shared" ref="T45:T51" si="52">+(M45/G45)</f>
        <v>0</v>
      </c>
      <c r="U45" s="425">
        <f t="shared" si="46"/>
        <v>0</v>
      </c>
      <c r="V45" s="422">
        <f>+T45*E45</f>
        <v>0</v>
      </c>
      <c r="W45" s="425">
        <f t="shared" si="47"/>
        <v>0</v>
      </c>
      <c r="X45" s="503">
        <f t="shared" ref="X45:X51" si="53">+M45/F45</f>
        <v>0</v>
      </c>
      <c r="Y45" s="512">
        <f t="shared" si="48"/>
        <v>0</v>
      </c>
      <c r="Z45" s="442">
        <f>+X45*E45</f>
        <v>0</v>
      </c>
      <c r="AA45" s="443">
        <f>+Y45*E45</f>
        <v>0</v>
      </c>
      <c r="AB45" s="139" t="s">
        <v>1775</v>
      </c>
      <c r="AC45" s="586" t="s">
        <v>1798</v>
      </c>
      <c r="AD45" s="704" t="s">
        <v>1860</v>
      </c>
      <c r="AE45" s="106"/>
      <c r="AF45" s="106"/>
    </row>
    <row r="46" spans="1:32" ht="138" customHeight="1" thickBot="1" x14ac:dyDescent="0.4">
      <c r="A46" s="233"/>
      <c r="B46" s="894" t="s">
        <v>77</v>
      </c>
      <c r="C46" s="894" t="s">
        <v>78</v>
      </c>
      <c r="D46" s="390" t="s">
        <v>12</v>
      </c>
      <c r="E46" s="286">
        <v>0.1</v>
      </c>
      <c r="F46" s="419">
        <v>1</v>
      </c>
      <c r="G46" s="420">
        <v>0</v>
      </c>
      <c r="H46" s="431">
        <v>1</v>
      </c>
      <c r="I46" s="435"/>
      <c r="J46" s="442">
        <f t="shared" ref="J46:J50" si="54">+H46/F46</f>
        <v>1</v>
      </c>
      <c r="K46" s="443"/>
      <c r="L46" s="444">
        <f>+(H46/F46)*E46</f>
        <v>0.1</v>
      </c>
      <c r="M46" s="446"/>
      <c r="N46" s="485">
        <v>0</v>
      </c>
      <c r="O46" s="815">
        <v>0</v>
      </c>
      <c r="P46" s="884">
        <v>1</v>
      </c>
      <c r="Q46" s="491"/>
      <c r="R46" s="446">
        <f t="shared" ref="R46:R48" si="55">+N46+O46+P46+Q46</f>
        <v>1</v>
      </c>
      <c r="S46" s="490">
        <f t="shared" ref="S46:S48" si="56">+R46+M46</f>
        <v>1</v>
      </c>
      <c r="T46" s="422"/>
      <c r="U46" s="425">
        <f>+R46/H46</f>
        <v>1</v>
      </c>
      <c r="V46" s="422"/>
      <c r="W46" s="425">
        <f t="shared" si="47"/>
        <v>0.1</v>
      </c>
      <c r="X46" s="503"/>
      <c r="Y46" s="512">
        <f t="shared" si="48"/>
        <v>1</v>
      </c>
      <c r="Z46" s="442">
        <v>0</v>
      </c>
      <c r="AA46" s="443">
        <f t="shared" ref="AA46:AA51" si="57">+Y46*E46</f>
        <v>0.1</v>
      </c>
      <c r="AB46" s="139" t="s">
        <v>1775</v>
      </c>
      <c r="AC46" s="604" t="s">
        <v>1810</v>
      </c>
      <c r="AD46" s="704" t="s">
        <v>1860</v>
      </c>
      <c r="AE46" s="106"/>
      <c r="AF46" s="106"/>
    </row>
    <row r="47" spans="1:32" ht="138" customHeight="1" thickBot="1" x14ac:dyDescent="0.4">
      <c r="A47" s="233"/>
      <c r="B47" s="894" t="s">
        <v>79</v>
      </c>
      <c r="C47" s="894" t="s">
        <v>80</v>
      </c>
      <c r="D47" s="390" t="s">
        <v>12</v>
      </c>
      <c r="E47" s="286">
        <v>0.1</v>
      </c>
      <c r="F47" s="419">
        <v>1200</v>
      </c>
      <c r="G47" s="420">
        <v>200</v>
      </c>
      <c r="H47" s="431">
        <v>550</v>
      </c>
      <c r="I47" s="435">
        <f t="shared" si="49"/>
        <v>0.16666666666666666</v>
      </c>
      <c r="J47" s="442">
        <f t="shared" si="54"/>
        <v>0.45833333333333331</v>
      </c>
      <c r="K47" s="443">
        <f t="shared" si="50"/>
        <v>1.6666666666666666E-2</v>
      </c>
      <c r="L47" s="444">
        <f>+(H47/F47)*E47</f>
        <v>4.5833333333333337E-2</v>
      </c>
      <c r="M47" s="446">
        <v>0</v>
      </c>
      <c r="N47" s="485">
        <v>194</v>
      </c>
      <c r="O47" s="816">
        <v>0</v>
      </c>
      <c r="P47" s="883">
        <v>356</v>
      </c>
      <c r="Q47" s="492"/>
      <c r="R47" s="446">
        <f t="shared" si="55"/>
        <v>550</v>
      </c>
      <c r="S47" s="490">
        <f t="shared" si="56"/>
        <v>550</v>
      </c>
      <c r="T47" s="422">
        <f t="shared" si="52"/>
        <v>0</v>
      </c>
      <c r="U47" s="425">
        <f t="shared" si="46"/>
        <v>1</v>
      </c>
      <c r="V47" s="422">
        <f>+T47*E47</f>
        <v>0</v>
      </c>
      <c r="W47" s="425">
        <f t="shared" si="47"/>
        <v>0.1</v>
      </c>
      <c r="X47" s="503">
        <f t="shared" si="53"/>
        <v>0</v>
      </c>
      <c r="Y47" s="504">
        <f t="shared" si="48"/>
        <v>0.45833333333333331</v>
      </c>
      <c r="Z47" s="442">
        <f>+X47*E47</f>
        <v>0</v>
      </c>
      <c r="AA47" s="443">
        <f t="shared" si="57"/>
        <v>4.5833333333333337E-2</v>
      </c>
      <c r="AB47" s="139" t="s">
        <v>1775</v>
      </c>
      <c r="AC47" s="586" t="s">
        <v>1798</v>
      </c>
      <c r="AD47" s="704" t="s">
        <v>1860</v>
      </c>
      <c r="AE47" s="106"/>
      <c r="AF47" s="106"/>
    </row>
    <row r="48" spans="1:32" ht="138" customHeight="1" thickBot="1" x14ac:dyDescent="0.4">
      <c r="A48" s="233"/>
      <c r="B48" s="894" t="s">
        <v>81</v>
      </c>
      <c r="C48" s="894" t="s">
        <v>82</v>
      </c>
      <c r="D48" s="390" t="s">
        <v>12</v>
      </c>
      <c r="E48" s="286">
        <v>0.1</v>
      </c>
      <c r="F48" s="419">
        <v>1</v>
      </c>
      <c r="G48" s="420">
        <v>0</v>
      </c>
      <c r="H48" s="814">
        <v>0.5</v>
      </c>
      <c r="I48" s="435"/>
      <c r="J48" s="442">
        <f t="shared" si="54"/>
        <v>0.5</v>
      </c>
      <c r="K48" s="443"/>
      <c r="L48" s="444">
        <f t="shared" si="34"/>
        <v>0.05</v>
      </c>
      <c r="M48" s="447"/>
      <c r="N48" s="485">
        <v>0</v>
      </c>
      <c r="O48" s="816">
        <v>0</v>
      </c>
      <c r="P48" s="883">
        <v>0</v>
      </c>
      <c r="Q48" s="492"/>
      <c r="R48" s="446">
        <f t="shared" si="55"/>
        <v>0</v>
      </c>
      <c r="S48" s="490">
        <f t="shared" si="56"/>
        <v>0</v>
      </c>
      <c r="T48" s="422"/>
      <c r="U48" s="425">
        <f t="shared" si="46"/>
        <v>0</v>
      </c>
      <c r="V48" s="422"/>
      <c r="W48" s="425">
        <f t="shared" si="47"/>
        <v>0</v>
      </c>
      <c r="X48" s="503"/>
      <c r="Y48" s="504">
        <f t="shared" si="48"/>
        <v>0</v>
      </c>
      <c r="Z48" s="442">
        <v>0</v>
      </c>
      <c r="AA48" s="443">
        <f t="shared" si="57"/>
        <v>0</v>
      </c>
      <c r="AB48" s="139" t="s">
        <v>1775</v>
      </c>
      <c r="AC48" s="598" t="s">
        <v>1811</v>
      </c>
      <c r="AD48" s="598" t="s">
        <v>1864</v>
      </c>
      <c r="AE48" s="106"/>
      <c r="AF48" s="106"/>
    </row>
    <row r="49" spans="1:32" ht="138" customHeight="1" thickBot="1" x14ac:dyDescent="0.4">
      <c r="A49" s="233"/>
      <c r="B49" s="894" t="s">
        <v>83</v>
      </c>
      <c r="C49" s="894" t="s">
        <v>84</v>
      </c>
      <c r="D49" s="390" t="s">
        <v>12</v>
      </c>
      <c r="E49" s="286">
        <v>0.25</v>
      </c>
      <c r="F49" s="419">
        <v>5</v>
      </c>
      <c r="G49" s="420">
        <v>0</v>
      </c>
      <c r="H49" s="431">
        <v>0</v>
      </c>
      <c r="I49" s="435"/>
      <c r="J49" s="442"/>
      <c r="K49" s="443"/>
      <c r="L49" s="444">
        <f t="shared" si="34"/>
        <v>0</v>
      </c>
      <c r="M49" s="446"/>
      <c r="N49" s="485"/>
      <c r="O49" s="815"/>
      <c r="P49" s="885"/>
      <c r="Q49" s="491"/>
      <c r="R49" s="446"/>
      <c r="S49" s="490">
        <f t="shared" ref="S49:S51" si="58">+R49+M49</f>
        <v>0</v>
      </c>
      <c r="T49" s="422"/>
      <c r="U49" s="425"/>
      <c r="V49" s="422"/>
      <c r="W49" s="425">
        <f t="shared" si="47"/>
        <v>0</v>
      </c>
      <c r="X49" s="503"/>
      <c r="Y49" s="504">
        <v>0</v>
      </c>
      <c r="Z49" s="442">
        <v>0</v>
      </c>
      <c r="AA49" s="443">
        <f t="shared" si="57"/>
        <v>0</v>
      </c>
      <c r="AB49" s="139" t="s">
        <v>1775</v>
      </c>
      <c r="AC49" s="586" t="s">
        <v>1798</v>
      </c>
      <c r="AD49" s="704" t="s">
        <v>1860</v>
      </c>
      <c r="AE49" s="106"/>
      <c r="AF49" s="106"/>
    </row>
    <row r="50" spans="1:32" ht="138" customHeight="1" thickBot="1" x14ac:dyDescent="0.4">
      <c r="A50" s="233"/>
      <c r="B50" s="894" t="s">
        <v>85</v>
      </c>
      <c r="C50" s="894" t="s">
        <v>86</v>
      </c>
      <c r="D50" s="390" t="s">
        <v>12</v>
      </c>
      <c r="E50" s="286">
        <v>0.1</v>
      </c>
      <c r="F50" s="419">
        <v>5</v>
      </c>
      <c r="G50" s="420">
        <v>0</v>
      </c>
      <c r="H50" s="431">
        <v>3</v>
      </c>
      <c r="I50" s="435"/>
      <c r="J50" s="442">
        <f t="shared" si="54"/>
        <v>0.6</v>
      </c>
      <c r="K50" s="448"/>
      <c r="L50" s="444">
        <f t="shared" si="34"/>
        <v>0.06</v>
      </c>
      <c r="M50" s="486"/>
      <c r="N50" s="485">
        <v>0</v>
      </c>
      <c r="O50" s="481">
        <v>0</v>
      </c>
      <c r="P50" s="464">
        <v>0</v>
      </c>
      <c r="Q50" s="421"/>
      <c r="R50" s="446">
        <f t="shared" ref="R50:R51" si="59">+N50+O50+P50+Q50</f>
        <v>0</v>
      </c>
      <c r="S50" s="490">
        <f t="shared" si="58"/>
        <v>0</v>
      </c>
      <c r="T50" s="422"/>
      <c r="U50" s="425">
        <f t="shared" si="46"/>
        <v>0</v>
      </c>
      <c r="V50" s="422"/>
      <c r="W50" s="425">
        <f t="shared" si="47"/>
        <v>0</v>
      </c>
      <c r="X50" s="503"/>
      <c r="Y50" s="506">
        <f t="shared" si="48"/>
        <v>0</v>
      </c>
      <c r="Z50" s="442">
        <v>0</v>
      </c>
      <c r="AA50" s="443">
        <f t="shared" si="57"/>
        <v>0</v>
      </c>
      <c r="AB50" s="139" t="s">
        <v>1775</v>
      </c>
      <c r="AC50" s="604" t="s">
        <v>1810</v>
      </c>
      <c r="AD50" s="704" t="s">
        <v>1860</v>
      </c>
      <c r="AE50" s="106"/>
      <c r="AF50" s="106"/>
    </row>
    <row r="51" spans="1:32" ht="138" customHeight="1" thickBot="1" x14ac:dyDescent="0.4">
      <c r="A51" s="233"/>
      <c r="B51" s="397" t="s">
        <v>87</v>
      </c>
      <c r="C51" s="397" t="s">
        <v>88</v>
      </c>
      <c r="D51" s="390" t="s">
        <v>12</v>
      </c>
      <c r="E51" s="286">
        <v>0.1</v>
      </c>
      <c r="F51" s="419">
        <f>33*4</f>
        <v>132</v>
      </c>
      <c r="G51" s="420">
        <v>33</v>
      </c>
      <c r="H51" s="431">
        <v>33</v>
      </c>
      <c r="I51" s="435">
        <f t="shared" si="49"/>
        <v>0.25</v>
      </c>
      <c r="J51" s="442">
        <f>+H51/F51</f>
        <v>0.25</v>
      </c>
      <c r="K51" s="444">
        <f t="shared" si="50"/>
        <v>2.5000000000000001E-2</v>
      </c>
      <c r="L51" s="444">
        <f t="shared" si="34"/>
        <v>2.5000000000000001E-2</v>
      </c>
      <c r="M51" s="486">
        <v>33</v>
      </c>
      <c r="N51" s="485">
        <v>33</v>
      </c>
      <c r="O51" s="421">
        <v>0</v>
      </c>
      <c r="P51" s="421"/>
      <c r="Q51" s="421"/>
      <c r="R51" s="446">
        <f t="shared" si="59"/>
        <v>33</v>
      </c>
      <c r="S51" s="490">
        <f t="shared" si="58"/>
        <v>66</v>
      </c>
      <c r="T51" s="422">
        <f t="shared" si="52"/>
        <v>1</v>
      </c>
      <c r="U51" s="425">
        <v>0.5</v>
      </c>
      <c r="V51" s="422">
        <f>+T51*E51</f>
        <v>0.1</v>
      </c>
      <c r="W51" s="425">
        <f t="shared" si="47"/>
        <v>0.05</v>
      </c>
      <c r="X51" s="503">
        <f t="shared" si="53"/>
        <v>0.25</v>
      </c>
      <c r="Y51" s="506">
        <f>+X51+6.25%+6.25%+6.25%</f>
        <v>0.4375</v>
      </c>
      <c r="Z51" s="442">
        <f>+X51*E51</f>
        <v>2.5000000000000001E-2</v>
      </c>
      <c r="AA51" s="443">
        <f t="shared" si="57"/>
        <v>4.3750000000000004E-2</v>
      </c>
      <c r="AB51" s="139" t="s">
        <v>1775</v>
      </c>
      <c r="AC51" s="586" t="s">
        <v>1798</v>
      </c>
      <c r="AD51" s="704" t="s">
        <v>1860</v>
      </c>
      <c r="AE51" s="106"/>
      <c r="AF51" s="106"/>
    </row>
    <row r="52" spans="1:32" ht="138" customHeight="1" thickBot="1" x14ac:dyDescent="0.45">
      <c r="A52" s="233"/>
      <c r="B52" s="946" t="s">
        <v>1531</v>
      </c>
      <c r="C52" s="945"/>
      <c r="D52" s="390"/>
      <c r="E52" s="415">
        <v>0.15</v>
      </c>
      <c r="F52" s="418"/>
      <c r="G52" s="418"/>
      <c r="H52" s="449"/>
      <c r="I52" s="437">
        <f>+AVERAGE(I53:I56)</f>
        <v>0.25</v>
      </c>
      <c r="J52" s="417">
        <f>+AVERAGE(J53:J56)</f>
        <v>0.32750000000000001</v>
      </c>
      <c r="K52" s="450">
        <f>+K53+K54+K55+K56</f>
        <v>0.125</v>
      </c>
      <c r="L52" s="417">
        <f>+L53+L54+L55+L56</f>
        <v>0.32750000000000001</v>
      </c>
      <c r="M52" s="416"/>
      <c r="N52" s="424"/>
      <c r="O52" s="424"/>
      <c r="P52" s="424"/>
      <c r="Q52" s="424"/>
      <c r="R52" s="424"/>
      <c r="S52" s="277"/>
      <c r="T52" s="483">
        <f>+AVERAGE(T53:T56)</f>
        <v>1</v>
      </c>
      <c r="U52" s="483">
        <f>+AVERAGE(U53:U56)</f>
        <v>0.5</v>
      </c>
      <c r="V52" s="483">
        <f>+(V53+V54+V55+V56)*E52</f>
        <v>7.4999999999999997E-2</v>
      </c>
      <c r="W52" s="483">
        <f>+(W53+W54+W55+W56)*E52</f>
        <v>7.4999999999999997E-2</v>
      </c>
      <c r="X52" s="438">
        <f>+AVERAGE(X53:X56)</f>
        <v>0.26200000000000001</v>
      </c>
      <c r="Y52" s="508">
        <f>+AVERAGE(Y53:Y56)</f>
        <v>0.37680000000000002</v>
      </c>
      <c r="Z52" s="438">
        <f>+(Z53+Z54+Z55+Z56)*E52</f>
        <v>1.9650000000000001E-2</v>
      </c>
      <c r="AA52" s="499">
        <f>+(AA53+AA54+AA55+AA56)</f>
        <v>0.37680000000000002</v>
      </c>
      <c r="AB52" s="132"/>
      <c r="AC52" s="388"/>
      <c r="AD52" s="388"/>
      <c r="AE52" s="106"/>
      <c r="AF52" s="106"/>
    </row>
    <row r="53" spans="1:32" ht="138" customHeight="1" thickBot="1" x14ac:dyDescent="0.4">
      <c r="A53" s="233"/>
      <c r="B53" s="894" t="s">
        <v>89</v>
      </c>
      <c r="C53" s="894" t="s">
        <v>90</v>
      </c>
      <c r="D53" s="390" t="s">
        <v>12</v>
      </c>
      <c r="E53" s="286">
        <v>0.25</v>
      </c>
      <c r="F53" s="419">
        <v>2500</v>
      </c>
      <c r="G53" s="420">
        <v>0</v>
      </c>
      <c r="H53" s="431">
        <v>835</v>
      </c>
      <c r="I53" s="435"/>
      <c r="J53" s="425">
        <f>+H53/F53</f>
        <v>0.33400000000000002</v>
      </c>
      <c r="K53" s="425"/>
      <c r="L53" s="425">
        <f>+(H53/F53)*E53</f>
        <v>8.3500000000000005E-2</v>
      </c>
      <c r="M53" s="421"/>
      <c r="N53" s="485">
        <v>0</v>
      </c>
      <c r="O53" s="481">
        <v>305</v>
      </c>
      <c r="P53" s="481">
        <v>1013</v>
      </c>
      <c r="Q53" s="421"/>
      <c r="R53" s="421">
        <f t="shared" ref="R53" si="60">+N53+O53+P53+Q53</f>
        <v>1318</v>
      </c>
      <c r="S53" s="493">
        <f t="shared" ref="S53" si="61">+R53+M53</f>
        <v>1318</v>
      </c>
      <c r="T53" s="422"/>
      <c r="U53" s="425">
        <v>1</v>
      </c>
      <c r="V53" s="422"/>
      <c r="W53" s="425">
        <f t="shared" si="47"/>
        <v>0.25</v>
      </c>
      <c r="X53" s="503"/>
      <c r="Y53" s="512">
        <f t="shared" si="48"/>
        <v>0.5272</v>
      </c>
      <c r="Z53" s="442">
        <v>0</v>
      </c>
      <c r="AA53" s="443">
        <f t="shared" ref="AA53:AA54" si="62">+Y53*E53</f>
        <v>0.1318</v>
      </c>
      <c r="AB53" s="139" t="s">
        <v>1775</v>
      </c>
      <c r="AC53" s="604" t="s">
        <v>1810</v>
      </c>
      <c r="AD53" s="704" t="s">
        <v>1860</v>
      </c>
      <c r="AE53" s="106"/>
      <c r="AF53" s="106"/>
    </row>
    <row r="54" spans="1:32" ht="138" customHeight="1" thickBot="1" x14ac:dyDescent="0.4">
      <c r="A54" s="233"/>
      <c r="B54" s="894" t="s">
        <v>91</v>
      </c>
      <c r="C54" s="894" t="s">
        <v>92</v>
      </c>
      <c r="D54" s="390" t="s">
        <v>12</v>
      </c>
      <c r="E54" s="286">
        <v>0.25</v>
      </c>
      <c r="F54" s="419">
        <v>4</v>
      </c>
      <c r="G54" s="420">
        <v>0</v>
      </c>
      <c r="H54" s="431">
        <v>2</v>
      </c>
      <c r="I54" s="435"/>
      <c r="J54" s="425">
        <f t="shared" ref="J54:J90" si="63">+H54/F54</f>
        <v>0.5</v>
      </c>
      <c r="K54" s="425"/>
      <c r="L54" s="425">
        <f t="shared" si="34"/>
        <v>0.125</v>
      </c>
      <c r="M54" s="421"/>
      <c r="N54" s="485">
        <v>0</v>
      </c>
      <c r="O54" s="481">
        <v>0</v>
      </c>
      <c r="P54" s="481">
        <v>0</v>
      </c>
      <c r="Q54" s="421"/>
      <c r="R54" s="421">
        <f t="shared" ref="R54:R56" si="64">+N54+O54+P54+Q54</f>
        <v>0</v>
      </c>
      <c r="S54" s="493">
        <f t="shared" ref="S54:S56" si="65">+R54+M54</f>
        <v>0</v>
      </c>
      <c r="T54" s="422"/>
      <c r="U54" s="425">
        <f t="shared" si="46"/>
        <v>0</v>
      </c>
      <c r="V54" s="422"/>
      <c r="W54" s="425">
        <f t="shared" si="47"/>
        <v>0</v>
      </c>
      <c r="X54" s="503"/>
      <c r="Y54" s="504">
        <f t="shared" si="48"/>
        <v>0</v>
      </c>
      <c r="Z54" s="442">
        <v>0</v>
      </c>
      <c r="AA54" s="443">
        <f t="shared" si="62"/>
        <v>0</v>
      </c>
      <c r="AB54" s="139" t="s">
        <v>1775</v>
      </c>
      <c r="AC54" s="604" t="s">
        <v>1810</v>
      </c>
      <c r="AD54" s="704" t="s">
        <v>1860</v>
      </c>
      <c r="AE54" s="106"/>
      <c r="AF54" s="106"/>
    </row>
    <row r="55" spans="1:32" ht="138" customHeight="1" thickBot="1" x14ac:dyDescent="0.4">
      <c r="A55" s="233"/>
      <c r="B55" s="894" t="s">
        <v>93</v>
      </c>
      <c r="C55" s="894" t="s">
        <v>94</v>
      </c>
      <c r="D55" s="390" t="s">
        <v>12</v>
      </c>
      <c r="E55" s="286">
        <v>0.25</v>
      </c>
      <c r="F55" s="419">
        <v>2500</v>
      </c>
      <c r="G55" s="420">
        <v>625</v>
      </c>
      <c r="H55" s="431">
        <v>565</v>
      </c>
      <c r="I55" s="435">
        <f>+G55/F55</f>
        <v>0.25</v>
      </c>
      <c r="J55" s="425">
        <f t="shared" si="63"/>
        <v>0.22600000000000001</v>
      </c>
      <c r="K55" s="425">
        <f>+(G55/F55)*E55</f>
        <v>6.25E-2</v>
      </c>
      <c r="L55" s="425">
        <f t="shared" si="34"/>
        <v>5.6500000000000002E-2</v>
      </c>
      <c r="M55" s="421">
        <v>685</v>
      </c>
      <c r="N55" s="485">
        <v>200</v>
      </c>
      <c r="O55" s="481">
        <v>544</v>
      </c>
      <c r="P55" s="481">
        <v>396</v>
      </c>
      <c r="Q55" s="421"/>
      <c r="R55" s="421">
        <f t="shared" si="64"/>
        <v>1140</v>
      </c>
      <c r="S55" s="493">
        <f t="shared" si="65"/>
        <v>1825</v>
      </c>
      <c r="T55" s="422">
        <v>1</v>
      </c>
      <c r="U55" s="425">
        <v>1</v>
      </c>
      <c r="V55" s="422">
        <f>+T55*E55</f>
        <v>0.25</v>
      </c>
      <c r="W55" s="425">
        <f t="shared" si="47"/>
        <v>0.25</v>
      </c>
      <c r="X55" s="503">
        <f>+M55/F55</f>
        <v>0.27400000000000002</v>
      </c>
      <c r="Y55" s="504">
        <f t="shared" si="48"/>
        <v>0.73</v>
      </c>
      <c r="Z55" s="442">
        <f>+X55*E55</f>
        <v>6.8500000000000005E-2</v>
      </c>
      <c r="AA55" s="443">
        <f>+Y55*E55</f>
        <v>0.1825</v>
      </c>
      <c r="AB55" s="139" t="s">
        <v>1775</v>
      </c>
      <c r="AC55" s="586" t="s">
        <v>1798</v>
      </c>
      <c r="AD55" s="704" t="s">
        <v>1860</v>
      </c>
      <c r="AE55" s="106"/>
      <c r="AF55" s="106"/>
    </row>
    <row r="56" spans="1:32" ht="138" customHeight="1" thickBot="1" x14ac:dyDescent="0.4">
      <c r="A56" s="233"/>
      <c r="B56" s="894" t="s">
        <v>95</v>
      </c>
      <c r="C56" s="894" t="s">
        <v>96</v>
      </c>
      <c r="D56" s="390" t="s">
        <v>12</v>
      </c>
      <c r="E56" s="286">
        <v>0.25</v>
      </c>
      <c r="F56" s="419">
        <v>4</v>
      </c>
      <c r="G56" s="420">
        <v>1</v>
      </c>
      <c r="H56" s="431">
        <v>1</v>
      </c>
      <c r="I56" s="435">
        <f>+G56/F56</f>
        <v>0.25</v>
      </c>
      <c r="J56" s="425">
        <f t="shared" si="63"/>
        <v>0.25</v>
      </c>
      <c r="K56" s="425">
        <f>+(G56/F56)*E56</f>
        <v>6.25E-2</v>
      </c>
      <c r="L56" s="425">
        <f t="shared" si="34"/>
        <v>6.25E-2</v>
      </c>
      <c r="M56" s="421">
        <v>1</v>
      </c>
      <c r="N56" s="485">
        <v>0</v>
      </c>
      <c r="O56" s="481">
        <v>0</v>
      </c>
      <c r="P56" s="481">
        <v>0</v>
      </c>
      <c r="Q56" s="421"/>
      <c r="R56" s="421">
        <f t="shared" si="64"/>
        <v>0</v>
      </c>
      <c r="S56" s="493">
        <f t="shared" si="65"/>
        <v>1</v>
      </c>
      <c r="T56" s="422">
        <f>+(M56/G56)</f>
        <v>1</v>
      </c>
      <c r="U56" s="425">
        <f t="shared" si="46"/>
        <v>0</v>
      </c>
      <c r="V56" s="422">
        <f>+T56*E56</f>
        <v>0.25</v>
      </c>
      <c r="W56" s="425">
        <f t="shared" si="47"/>
        <v>0</v>
      </c>
      <c r="X56" s="503">
        <f>+M56/F56</f>
        <v>0.25</v>
      </c>
      <c r="Y56" s="506">
        <f t="shared" si="48"/>
        <v>0.25</v>
      </c>
      <c r="Z56" s="442">
        <f>+X56*E56</f>
        <v>6.25E-2</v>
      </c>
      <c r="AA56" s="443">
        <f>+Y56*E56</f>
        <v>6.25E-2</v>
      </c>
      <c r="AB56" s="139" t="s">
        <v>1775</v>
      </c>
      <c r="AC56" s="586" t="s">
        <v>1798</v>
      </c>
      <c r="AD56" s="704" t="s">
        <v>1860</v>
      </c>
      <c r="AE56" s="106"/>
      <c r="AF56" s="106"/>
    </row>
    <row r="57" spans="1:32" ht="72" customHeight="1" thickBot="1" x14ac:dyDescent="0.45">
      <c r="A57" s="233"/>
      <c r="B57" s="946" t="s">
        <v>1532</v>
      </c>
      <c r="C57" s="945"/>
      <c r="D57" s="390"/>
      <c r="E57" s="415">
        <v>0.1</v>
      </c>
      <c r="F57" s="418"/>
      <c r="G57" s="451"/>
      <c r="H57" s="452"/>
      <c r="I57" s="437">
        <f>+AVERAGE(I58:I76)</f>
        <v>0.25</v>
      </c>
      <c r="J57" s="417">
        <f>+AVERAGE(J58:J76)</f>
        <v>0.29290000000000005</v>
      </c>
      <c r="K57" s="453">
        <f>+K58+K59+K60+K61+K62+K63+K64+K65+K66+K67+K68+K69+K70+K71+K72+K73+K74+K75+K76</f>
        <v>0.14500000000000005</v>
      </c>
      <c r="L57" s="453">
        <f>+L58+L59+L60+L61+L62+L63+L64+L65+L66+L67+L68+L69+L70+L71+L72+L73+L74+L75+L76</f>
        <v>0.14290000000000003</v>
      </c>
      <c r="M57" s="424"/>
      <c r="N57" s="424"/>
      <c r="O57" s="424"/>
      <c r="P57" s="424"/>
      <c r="Q57" s="424"/>
      <c r="R57" s="424"/>
      <c r="S57" s="277"/>
      <c r="T57" s="483">
        <f>+AVERAGE(T58:T76)</f>
        <v>0.9349090909090908</v>
      </c>
      <c r="U57" s="483">
        <f>+AVERAGE(U58:U76)</f>
        <v>0.77698135198135199</v>
      </c>
      <c r="V57" s="483">
        <f>+(V58+V59+V60+V61+V62+V63+V64+V65+V66+V67+V68+V69+V70+V71+V72+V73+V74+V75+V76)*E57</f>
        <v>5.0840000000000024E-2</v>
      </c>
      <c r="W57" s="483">
        <f>+(W58+W59+W60+W61+W62+W63+W64+W65+W66+W67+W68+W69+W70+W71+W72+W73+W74+W76)*E57</f>
        <v>3.6198135198135209E-2</v>
      </c>
      <c r="X57" s="438">
        <f>+AVERAGE(X58:X76)</f>
        <v>0.2337272727272727</v>
      </c>
      <c r="Y57" s="508">
        <f>+AVERAGE(Y58:Y76)</f>
        <v>0.41512500000000002</v>
      </c>
      <c r="Z57" s="438">
        <f>+(Z58+Z59+Z60+Z61+Z62+Z63+Z64+Z65+Z66+Z67+Z68+Z69+Z70+Z71+Z72+Z73+Z74+Z75+Z76)*E57</f>
        <v>1.2710000000000006E-2</v>
      </c>
      <c r="AA57" s="499">
        <f>+(AA58+AA59+AA60+AA61+AA62+AA63+AA64+AA65+AA66+AA67+AA68+AA69+AA70+AA71+AA72+AA73+AA74+AA75+AA76)</f>
        <v>0.24250000000000005</v>
      </c>
      <c r="AB57" s="132"/>
      <c r="AC57" s="388"/>
      <c r="AD57" s="388"/>
      <c r="AE57" s="106"/>
      <c r="AF57" s="106"/>
    </row>
    <row r="58" spans="1:32" ht="132.6" customHeight="1" thickBot="1" x14ac:dyDescent="0.4">
      <c r="A58" s="233"/>
      <c r="B58" s="894" t="s">
        <v>97</v>
      </c>
      <c r="C58" s="894" t="s">
        <v>98</v>
      </c>
      <c r="D58" s="390" t="s">
        <v>12</v>
      </c>
      <c r="E58" s="454">
        <v>0.1</v>
      </c>
      <c r="F58" s="419">
        <v>1000</v>
      </c>
      <c r="G58" s="420">
        <v>0</v>
      </c>
      <c r="H58" s="431">
        <v>0</v>
      </c>
      <c r="I58" s="435"/>
      <c r="J58" s="425"/>
      <c r="K58" s="425"/>
      <c r="L58" s="425"/>
      <c r="M58" s="421"/>
      <c r="N58" s="485"/>
      <c r="O58" s="481"/>
      <c r="P58" s="481"/>
      <c r="Q58" s="421"/>
      <c r="R58" s="421"/>
      <c r="S58" s="493"/>
      <c r="T58" s="422"/>
      <c r="U58" s="459"/>
      <c r="V58" s="474"/>
      <c r="W58" s="459">
        <f t="shared" si="47"/>
        <v>0</v>
      </c>
      <c r="X58" s="503"/>
      <c r="Y58" s="512"/>
      <c r="Z58" s="442">
        <v>0</v>
      </c>
      <c r="AA58" s="443">
        <v>0</v>
      </c>
      <c r="AB58" s="139" t="s">
        <v>1775</v>
      </c>
      <c r="AC58" s="586" t="s">
        <v>1798</v>
      </c>
      <c r="AD58" s="704" t="s">
        <v>1860</v>
      </c>
      <c r="AE58" s="106"/>
      <c r="AF58" s="106"/>
    </row>
    <row r="59" spans="1:32" ht="132.6" customHeight="1" thickBot="1" x14ac:dyDescent="0.4">
      <c r="A59" s="233"/>
      <c r="B59" s="894" t="s">
        <v>99</v>
      </c>
      <c r="C59" s="894" t="s">
        <v>100</v>
      </c>
      <c r="D59" s="390" t="s">
        <v>12</v>
      </c>
      <c r="E59" s="454">
        <v>0.1</v>
      </c>
      <c r="F59" s="419">
        <v>1000</v>
      </c>
      <c r="G59" s="420">
        <v>250</v>
      </c>
      <c r="H59" s="431">
        <v>429</v>
      </c>
      <c r="I59" s="435">
        <f t="shared" ref="I59:I73" si="66">+G59/F59</f>
        <v>0.25</v>
      </c>
      <c r="J59" s="425">
        <f t="shared" si="63"/>
        <v>0.42899999999999999</v>
      </c>
      <c r="K59" s="425">
        <f t="shared" ref="K59:K73" si="67">+(G59/F59)*E59</f>
        <v>2.5000000000000001E-2</v>
      </c>
      <c r="L59" s="425">
        <f t="shared" si="34"/>
        <v>4.2900000000000001E-2</v>
      </c>
      <c r="M59" s="421">
        <v>71</v>
      </c>
      <c r="N59" s="485">
        <v>50</v>
      </c>
      <c r="O59" s="481">
        <v>101</v>
      </c>
      <c r="P59" s="481">
        <v>72</v>
      </c>
      <c r="Q59" s="421"/>
      <c r="R59" s="421">
        <f t="shared" ref="R59:R65" si="68">+N59+O59+P59+Q59</f>
        <v>223</v>
      </c>
      <c r="S59" s="493">
        <f t="shared" ref="S59:S65" si="69">+R59+M59</f>
        <v>294</v>
      </c>
      <c r="T59" s="422">
        <f t="shared" ref="T59:T73" si="70">+(M59/G59)</f>
        <v>0.28399999999999997</v>
      </c>
      <c r="U59" s="459">
        <f t="shared" si="46"/>
        <v>0.51981351981351986</v>
      </c>
      <c r="V59" s="474">
        <f>+T59*E59</f>
        <v>2.8399999999999998E-2</v>
      </c>
      <c r="W59" s="459">
        <f t="shared" si="47"/>
        <v>5.1981351981351988E-2</v>
      </c>
      <c r="X59" s="503">
        <f t="shared" ref="X59:X73" si="71">+M59/F59</f>
        <v>7.0999999999999994E-2</v>
      </c>
      <c r="Y59" s="504">
        <f t="shared" si="48"/>
        <v>0.29399999999999998</v>
      </c>
      <c r="Z59" s="442">
        <f>+X59*E59</f>
        <v>7.0999999999999995E-3</v>
      </c>
      <c r="AA59" s="443"/>
      <c r="AB59" s="139" t="s">
        <v>1775</v>
      </c>
      <c r="AC59" s="586" t="s">
        <v>1798</v>
      </c>
      <c r="AD59" s="704" t="s">
        <v>1860</v>
      </c>
      <c r="AE59" s="106"/>
      <c r="AF59" s="106"/>
    </row>
    <row r="60" spans="1:32" ht="132.6" customHeight="1" thickBot="1" x14ac:dyDescent="0.4">
      <c r="A60" s="233"/>
      <c r="B60" s="893" t="s">
        <v>101</v>
      </c>
      <c r="C60" s="893" t="s">
        <v>102</v>
      </c>
      <c r="D60" s="390" t="s">
        <v>12</v>
      </c>
      <c r="E60" s="454">
        <v>0.1</v>
      </c>
      <c r="F60" s="455">
        <v>1</v>
      </c>
      <c r="G60" s="456">
        <f>0.0625*4</f>
        <v>0.25</v>
      </c>
      <c r="H60" s="457">
        <v>0.25</v>
      </c>
      <c r="I60" s="435">
        <f t="shared" si="66"/>
        <v>0.25</v>
      </c>
      <c r="J60" s="425">
        <f t="shared" si="63"/>
        <v>0.25</v>
      </c>
      <c r="K60" s="425">
        <f t="shared" si="67"/>
        <v>2.5000000000000001E-2</v>
      </c>
      <c r="L60" s="425">
        <f t="shared" si="34"/>
        <v>2.5000000000000001E-2</v>
      </c>
      <c r="M60" s="458">
        <v>0.25</v>
      </c>
      <c r="N60" s="485">
        <v>6.25E-2</v>
      </c>
      <c r="O60" s="485">
        <v>6.25E-2</v>
      </c>
      <c r="P60" s="485">
        <v>6.25E-2</v>
      </c>
      <c r="Q60" s="458"/>
      <c r="R60" s="421">
        <f t="shared" si="68"/>
        <v>0.1875</v>
      </c>
      <c r="S60" s="493">
        <f t="shared" si="69"/>
        <v>0.4375</v>
      </c>
      <c r="T60" s="422">
        <f t="shared" si="70"/>
        <v>1</v>
      </c>
      <c r="U60" s="459">
        <f t="shared" si="46"/>
        <v>0.75</v>
      </c>
      <c r="V60" s="474">
        <f>+T60*E60</f>
        <v>0.1</v>
      </c>
      <c r="W60" s="459">
        <f t="shared" si="47"/>
        <v>7.5000000000000011E-2</v>
      </c>
      <c r="X60" s="503">
        <f t="shared" si="71"/>
        <v>0.25</v>
      </c>
      <c r="Y60" s="504">
        <f t="shared" si="48"/>
        <v>0.4375</v>
      </c>
      <c r="Z60" s="503">
        <f>+X60*E60</f>
        <v>2.5000000000000001E-2</v>
      </c>
      <c r="AA60" s="504">
        <f>+Y60*E60</f>
        <v>4.3750000000000004E-2</v>
      </c>
      <c r="AB60" s="139" t="s">
        <v>1775</v>
      </c>
      <c r="AC60" s="586" t="s">
        <v>1798</v>
      </c>
      <c r="AD60" s="704" t="s">
        <v>1860</v>
      </c>
      <c r="AE60" s="106"/>
      <c r="AF60" s="106"/>
    </row>
    <row r="61" spans="1:32" ht="132.6" customHeight="1" thickBot="1" x14ac:dyDescent="0.4">
      <c r="A61" s="233"/>
      <c r="B61" s="893" t="s">
        <v>103</v>
      </c>
      <c r="C61" s="893" t="s">
        <v>104</v>
      </c>
      <c r="D61" s="390" t="s">
        <v>12</v>
      </c>
      <c r="E61" s="454">
        <v>0.1</v>
      </c>
      <c r="F61" s="455">
        <v>1</v>
      </c>
      <c r="G61" s="456">
        <f>0.0625*4</f>
        <v>0.25</v>
      </c>
      <c r="H61" s="457">
        <v>0.25</v>
      </c>
      <c r="I61" s="435">
        <f t="shared" si="66"/>
        <v>0.25</v>
      </c>
      <c r="J61" s="425">
        <f t="shared" si="63"/>
        <v>0.25</v>
      </c>
      <c r="K61" s="425">
        <f t="shared" si="67"/>
        <v>2.5000000000000001E-2</v>
      </c>
      <c r="L61" s="425">
        <f t="shared" si="34"/>
        <v>2.5000000000000001E-2</v>
      </c>
      <c r="M61" s="458">
        <v>0.25</v>
      </c>
      <c r="N61" s="485">
        <v>0</v>
      </c>
      <c r="O61" s="817">
        <f>0.0625*2</f>
        <v>0.125</v>
      </c>
      <c r="P61" s="817">
        <v>6.25E-2</v>
      </c>
      <c r="Q61" s="458"/>
      <c r="R61" s="421">
        <f t="shared" si="68"/>
        <v>0.1875</v>
      </c>
      <c r="S61" s="493">
        <f t="shared" si="69"/>
        <v>0.4375</v>
      </c>
      <c r="T61" s="422">
        <f t="shared" si="70"/>
        <v>1</v>
      </c>
      <c r="U61" s="459">
        <f t="shared" si="46"/>
        <v>0.75</v>
      </c>
      <c r="V61" s="474">
        <f>+T61*E61</f>
        <v>0.1</v>
      </c>
      <c r="W61" s="459">
        <f t="shared" si="47"/>
        <v>7.5000000000000011E-2</v>
      </c>
      <c r="X61" s="503">
        <f t="shared" si="71"/>
        <v>0.25</v>
      </c>
      <c r="Y61" s="504">
        <f t="shared" si="48"/>
        <v>0.4375</v>
      </c>
      <c r="Z61" s="503">
        <f>+X61*E61</f>
        <v>2.5000000000000001E-2</v>
      </c>
      <c r="AA61" s="504">
        <f>+Y61*E61</f>
        <v>4.3750000000000004E-2</v>
      </c>
      <c r="AB61" s="139" t="s">
        <v>1775</v>
      </c>
      <c r="AC61" s="586" t="s">
        <v>1798</v>
      </c>
      <c r="AD61" s="704" t="s">
        <v>1860</v>
      </c>
      <c r="AE61" s="106"/>
      <c r="AF61" s="106"/>
    </row>
    <row r="62" spans="1:32" ht="132.6" customHeight="1" thickBot="1" x14ac:dyDescent="0.4">
      <c r="A62" s="233"/>
      <c r="B62" s="893" t="s">
        <v>105</v>
      </c>
      <c r="C62" s="893" t="s">
        <v>106</v>
      </c>
      <c r="D62" s="390" t="s">
        <v>12</v>
      </c>
      <c r="E62" s="454">
        <v>0.05</v>
      </c>
      <c r="F62" s="419">
        <f>22*4</f>
        <v>88</v>
      </c>
      <c r="G62" s="420">
        <v>22</v>
      </c>
      <c r="H62" s="431">
        <v>22</v>
      </c>
      <c r="I62" s="435">
        <f t="shared" si="66"/>
        <v>0.25</v>
      </c>
      <c r="J62" s="425">
        <f t="shared" si="63"/>
        <v>0.25</v>
      </c>
      <c r="K62" s="459">
        <f>+(G62/F62)*E62</f>
        <v>1.2500000000000001E-2</v>
      </c>
      <c r="L62" s="425">
        <f t="shared" si="34"/>
        <v>1.2500000000000001E-2</v>
      </c>
      <c r="M62" s="421">
        <v>22</v>
      </c>
      <c r="N62" s="485">
        <v>0</v>
      </c>
      <c r="O62" s="481">
        <v>0</v>
      </c>
      <c r="P62" s="481">
        <v>22</v>
      </c>
      <c r="Q62" s="421"/>
      <c r="R62" s="421">
        <f t="shared" si="68"/>
        <v>22</v>
      </c>
      <c r="S62" s="493">
        <f t="shared" si="69"/>
        <v>44</v>
      </c>
      <c r="T62" s="422">
        <f t="shared" si="70"/>
        <v>1</v>
      </c>
      <c r="U62" s="459">
        <f t="shared" si="46"/>
        <v>1</v>
      </c>
      <c r="V62" s="474">
        <f>+T62*E62</f>
        <v>0.05</v>
      </c>
      <c r="W62" s="459">
        <f t="shared" si="47"/>
        <v>0.05</v>
      </c>
      <c r="X62" s="503">
        <f t="shared" si="71"/>
        <v>0.25</v>
      </c>
      <c r="Y62" s="504">
        <f t="shared" si="48"/>
        <v>0.5</v>
      </c>
      <c r="Z62" s="442">
        <f>+X62*E62</f>
        <v>1.2500000000000001E-2</v>
      </c>
      <c r="AA62" s="443">
        <f>+Y62*E62</f>
        <v>2.5000000000000001E-2</v>
      </c>
      <c r="AB62" s="139" t="s">
        <v>1775</v>
      </c>
      <c r="AC62" s="586" t="s">
        <v>1798</v>
      </c>
      <c r="AD62" s="704" t="s">
        <v>1860</v>
      </c>
      <c r="AE62" s="106"/>
      <c r="AF62" s="106"/>
    </row>
    <row r="63" spans="1:32" ht="132.6" customHeight="1" thickBot="1" x14ac:dyDescent="0.4">
      <c r="A63" s="233"/>
      <c r="B63" s="894" t="s">
        <v>107</v>
      </c>
      <c r="C63" s="894" t="s">
        <v>108</v>
      </c>
      <c r="D63" s="390" t="s">
        <v>12</v>
      </c>
      <c r="E63" s="454">
        <v>0.02</v>
      </c>
      <c r="F63" s="419">
        <v>1</v>
      </c>
      <c r="G63" s="420">
        <v>0</v>
      </c>
      <c r="H63" s="431">
        <v>0</v>
      </c>
      <c r="I63" s="435"/>
      <c r="J63" s="425"/>
      <c r="K63" s="425"/>
      <c r="L63" s="425"/>
      <c r="M63" s="421"/>
      <c r="N63" s="485"/>
      <c r="O63" s="481"/>
      <c r="P63" s="481"/>
      <c r="Q63" s="421"/>
      <c r="R63" s="421">
        <f t="shared" si="68"/>
        <v>0</v>
      </c>
      <c r="S63" s="493">
        <f t="shared" si="69"/>
        <v>0</v>
      </c>
      <c r="T63" s="422"/>
      <c r="U63" s="459"/>
      <c r="V63" s="474"/>
      <c r="W63" s="459"/>
      <c r="X63" s="503"/>
      <c r="Y63" s="504"/>
      <c r="Z63" s="442">
        <v>0</v>
      </c>
      <c r="AA63" s="443">
        <f>+Y63*E63</f>
        <v>0</v>
      </c>
      <c r="AB63" s="139" t="s">
        <v>1775</v>
      </c>
      <c r="AC63" s="586" t="s">
        <v>1798</v>
      </c>
      <c r="AD63" s="704" t="s">
        <v>1860</v>
      </c>
      <c r="AE63" s="106"/>
      <c r="AF63" s="106"/>
    </row>
    <row r="64" spans="1:32" ht="132.6" customHeight="1" thickBot="1" x14ac:dyDescent="0.4">
      <c r="A64" s="233"/>
      <c r="B64" s="894" t="s">
        <v>109</v>
      </c>
      <c r="C64" s="894" t="s">
        <v>110</v>
      </c>
      <c r="D64" s="390" t="s">
        <v>12</v>
      </c>
      <c r="E64" s="454">
        <v>0.02</v>
      </c>
      <c r="F64" s="419">
        <v>1</v>
      </c>
      <c r="G64" s="420">
        <v>0</v>
      </c>
      <c r="H64" s="431">
        <v>0</v>
      </c>
      <c r="I64" s="435"/>
      <c r="J64" s="425"/>
      <c r="K64" s="425"/>
      <c r="L64" s="425"/>
      <c r="M64" s="421"/>
      <c r="N64" s="485"/>
      <c r="O64" s="481"/>
      <c r="P64" s="481"/>
      <c r="Q64" s="421"/>
      <c r="R64" s="421">
        <f t="shared" si="68"/>
        <v>0</v>
      </c>
      <c r="S64" s="493">
        <f t="shared" si="69"/>
        <v>0</v>
      </c>
      <c r="T64" s="422"/>
      <c r="U64" s="425"/>
      <c r="V64" s="422"/>
      <c r="W64" s="425"/>
      <c r="X64" s="442"/>
      <c r="Y64" s="443"/>
      <c r="Z64" s="442">
        <v>0</v>
      </c>
      <c r="AA64" s="443">
        <f t="shared" ref="AA64:AA66" si="72">+Y64*E64</f>
        <v>0</v>
      </c>
      <c r="AB64" s="139" t="s">
        <v>1775</v>
      </c>
      <c r="AC64" s="586" t="s">
        <v>1798</v>
      </c>
      <c r="AD64" s="704" t="s">
        <v>1860</v>
      </c>
      <c r="AE64" s="106"/>
      <c r="AF64" s="106"/>
    </row>
    <row r="65" spans="1:32" ht="132.6" customHeight="1" thickBot="1" x14ac:dyDescent="0.4">
      <c r="A65" s="233"/>
      <c r="B65" s="894" t="s">
        <v>111</v>
      </c>
      <c r="C65" s="894" t="s">
        <v>112</v>
      </c>
      <c r="D65" s="390" t="s">
        <v>12</v>
      </c>
      <c r="E65" s="454">
        <v>0.05</v>
      </c>
      <c r="F65" s="419">
        <v>1</v>
      </c>
      <c r="G65" s="420">
        <v>0</v>
      </c>
      <c r="H65" s="431">
        <v>0</v>
      </c>
      <c r="I65" s="460"/>
      <c r="J65" s="425"/>
      <c r="K65" s="461"/>
      <c r="L65" s="425"/>
      <c r="M65" s="462"/>
      <c r="N65" s="485"/>
      <c r="O65" s="818"/>
      <c r="P65" s="818"/>
      <c r="Q65" s="462"/>
      <c r="R65" s="421">
        <f t="shared" si="68"/>
        <v>0</v>
      </c>
      <c r="S65" s="493">
        <f t="shared" si="69"/>
        <v>0</v>
      </c>
      <c r="T65" s="422"/>
      <c r="U65" s="425"/>
      <c r="V65" s="422"/>
      <c r="W65" s="425"/>
      <c r="X65" s="442"/>
      <c r="Y65" s="443"/>
      <c r="Z65" s="442">
        <v>0</v>
      </c>
      <c r="AA65" s="443">
        <f t="shared" si="72"/>
        <v>0</v>
      </c>
      <c r="AB65" s="139" t="s">
        <v>1775</v>
      </c>
      <c r="AC65" s="586" t="s">
        <v>1798</v>
      </c>
      <c r="AD65" s="704" t="s">
        <v>1860</v>
      </c>
      <c r="AE65" s="106"/>
      <c r="AF65" s="106"/>
    </row>
    <row r="66" spans="1:32" ht="132.6" customHeight="1" thickBot="1" x14ac:dyDescent="0.4">
      <c r="A66" s="233"/>
      <c r="B66" s="397" t="s">
        <v>113</v>
      </c>
      <c r="C66" s="397" t="s">
        <v>114</v>
      </c>
      <c r="D66" s="390" t="s">
        <v>12</v>
      </c>
      <c r="E66" s="454">
        <v>0.02</v>
      </c>
      <c r="F66" s="419">
        <v>4</v>
      </c>
      <c r="G66" s="420">
        <v>1</v>
      </c>
      <c r="H66" s="421">
        <v>1</v>
      </c>
      <c r="I66" s="463">
        <f t="shared" si="66"/>
        <v>0.25</v>
      </c>
      <c r="J66" s="425">
        <v>0.25</v>
      </c>
      <c r="K66" s="463">
        <f t="shared" si="67"/>
        <v>5.0000000000000001E-3</v>
      </c>
      <c r="L66" s="425"/>
      <c r="M66" s="464">
        <v>1</v>
      </c>
      <c r="N66" s="485">
        <v>0</v>
      </c>
      <c r="O66" s="818">
        <v>0.5</v>
      </c>
      <c r="P66" s="886">
        <v>0.25</v>
      </c>
      <c r="Q66" s="464"/>
      <c r="R66" s="421">
        <f t="shared" ref="R66:R76" si="73">+N66+O66+P66+Q66</f>
        <v>0.75</v>
      </c>
      <c r="S66" s="493">
        <f t="shared" ref="S66:S76" si="74">+R66+M66</f>
        <v>1.75</v>
      </c>
      <c r="T66" s="422">
        <f>+(M66/G66)</f>
        <v>1</v>
      </c>
      <c r="U66" s="425">
        <f t="shared" si="46"/>
        <v>0.75</v>
      </c>
      <c r="V66" s="422">
        <f t="shared" ref="V66:V71" si="75">+T66*E66</f>
        <v>0.02</v>
      </c>
      <c r="W66" s="425"/>
      <c r="X66" s="503">
        <f>+M66/F66</f>
        <v>0.25</v>
      </c>
      <c r="Y66" s="504">
        <f t="shared" si="48"/>
        <v>0.4375</v>
      </c>
      <c r="Z66" s="442">
        <f t="shared" ref="Z66:Z71" si="76">+X66*E66</f>
        <v>5.0000000000000001E-3</v>
      </c>
      <c r="AA66" s="443">
        <f t="shared" si="72"/>
        <v>8.7500000000000008E-3</v>
      </c>
      <c r="AB66" s="139" t="s">
        <v>1775</v>
      </c>
      <c r="AC66" s="586" t="s">
        <v>1798</v>
      </c>
      <c r="AD66" s="704" t="s">
        <v>1860</v>
      </c>
      <c r="AE66" s="106"/>
      <c r="AF66" s="106"/>
    </row>
    <row r="67" spans="1:32" ht="132.6" customHeight="1" thickBot="1" x14ac:dyDescent="0.4">
      <c r="A67" s="233"/>
      <c r="B67" s="894" t="s">
        <v>115</v>
      </c>
      <c r="C67" s="894" t="s">
        <v>116</v>
      </c>
      <c r="D67" s="390" t="s">
        <v>12</v>
      </c>
      <c r="E67" s="454">
        <v>0.02</v>
      </c>
      <c r="F67" s="419">
        <v>4</v>
      </c>
      <c r="G67" s="420">
        <v>1</v>
      </c>
      <c r="H67" s="421">
        <v>1</v>
      </c>
      <c r="I67" s="422">
        <f t="shared" si="66"/>
        <v>0.25</v>
      </c>
      <c r="J67" s="425">
        <f t="shared" si="63"/>
        <v>0.25</v>
      </c>
      <c r="K67" s="422">
        <f t="shared" si="67"/>
        <v>5.0000000000000001E-3</v>
      </c>
      <c r="L67" s="425">
        <f t="shared" si="34"/>
        <v>5.0000000000000001E-3</v>
      </c>
      <c r="M67" s="420">
        <v>1</v>
      </c>
      <c r="N67" s="485">
        <v>0.25</v>
      </c>
      <c r="O67" s="818">
        <v>0.25</v>
      </c>
      <c r="P67" s="481">
        <v>0.25</v>
      </c>
      <c r="Q67" s="421"/>
      <c r="R67" s="421">
        <f t="shared" si="73"/>
        <v>0.75</v>
      </c>
      <c r="S67" s="493">
        <f t="shared" si="74"/>
        <v>1.75</v>
      </c>
      <c r="T67" s="422">
        <f>+(M67/G67)</f>
        <v>1</v>
      </c>
      <c r="U67" s="425">
        <f t="shared" si="46"/>
        <v>0.75</v>
      </c>
      <c r="V67" s="422">
        <f t="shared" si="75"/>
        <v>0.02</v>
      </c>
      <c r="W67" s="425">
        <f t="shared" si="47"/>
        <v>1.4999999999999999E-2</v>
      </c>
      <c r="X67" s="503">
        <f>+M67/F67</f>
        <v>0.25</v>
      </c>
      <c r="Y67" s="504">
        <f t="shared" si="48"/>
        <v>0.4375</v>
      </c>
      <c r="Z67" s="442">
        <f t="shared" si="76"/>
        <v>5.0000000000000001E-3</v>
      </c>
      <c r="AA67" s="443">
        <f t="shared" ref="AA67:AA71" si="77">+Y67*E67</f>
        <v>8.7500000000000008E-3</v>
      </c>
      <c r="AB67" s="139" t="s">
        <v>1775</v>
      </c>
      <c r="AC67" s="586" t="s">
        <v>1798</v>
      </c>
      <c r="AD67" s="704" t="s">
        <v>1860</v>
      </c>
      <c r="AE67" s="106"/>
      <c r="AF67" s="106"/>
    </row>
    <row r="68" spans="1:32" ht="132.6" customHeight="1" thickBot="1" x14ac:dyDescent="0.4">
      <c r="A68" s="233"/>
      <c r="B68" s="894" t="s">
        <v>117</v>
      </c>
      <c r="C68" s="894" t="s">
        <v>118</v>
      </c>
      <c r="D68" s="390" t="s">
        <v>12</v>
      </c>
      <c r="E68" s="454">
        <v>0.02</v>
      </c>
      <c r="F68" s="419">
        <v>4</v>
      </c>
      <c r="G68" s="420">
        <v>1</v>
      </c>
      <c r="H68" s="421">
        <v>1</v>
      </c>
      <c r="I68" s="422">
        <f t="shared" si="66"/>
        <v>0.25</v>
      </c>
      <c r="J68" s="425">
        <f t="shared" si="63"/>
        <v>0.25</v>
      </c>
      <c r="K68" s="422">
        <f t="shared" si="67"/>
        <v>5.0000000000000001E-3</v>
      </c>
      <c r="L68" s="425">
        <f t="shared" si="34"/>
        <v>5.0000000000000001E-3</v>
      </c>
      <c r="M68" s="420">
        <v>1</v>
      </c>
      <c r="N68" s="485">
        <v>0.25</v>
      </c>
      <c r="O68" s="818">
        <v>0.25</v>
      </c>
      <c r="P68" s="481">
        <v>0.25</v>
      </c>
      <c r="Q68" s="421"/>
      <c r="R68" s="421">
        <f t="shared" si="73"/>
        <v>0.75</v>
      </c>
      <c r="S68" s="493">
        <f t="shared" si="74"/>
        <v>1.75</v>
      </c>
      <c r="T68" s="422">
        <f>+(M68/G68)</f>
        <v>1</v>
      </c>
      <c r="U68" s="425">
        <f t="shared" si="46"/>
        <v>0.75</v>
      </c>
      <c r="V68" s="422">
        <f t="shared" si="75"/>
        <v>0.02</v>
      </c>
      <c r="W68" s="425">
        <f t="shared" si="47"/>
        <v>1.4999999999999999E-2</v>
      </c>
      <c r="X68" s="503">
        <f>+M68/F68</f>
        <v>0.25</v>
      </c>
      <c r="Y68" s="504">
        <f>+S68/F68</f>
        <v>0.4375</v>
      </c>
      <c r="Z68" s="442">
        <f t="shared" si="76"/>
        <v>5.0000000000000001E-3</v>
      </c>
      <c r="AA68" s="443">
        <f t="shared" si="77"/>
        <v>8.7500000000000008E-3</v>
      </c>
      <c r="AB68" s="139" t="s">
        <v>1775</v>
      </c>
      <c r="AC68" s="586" t="s">
        <v>1798</v>
      </c>
      <c r="AD68" s="704" t="s">
        <v>1860</v>
      </c>
      <c r="AE68" s="106"/>
      <c r="AF68" s="106"/>
    </row>
    <row r="69" spans="1:32" ht="132.6" customHeight="1" thickBot="1" x14ac:dyDescent="0.4">
      <c r="A69" s="233"/>
      <c r="B69" s="397" t="s">
        <v>119</v>
      </c>
      <c r="C69" s="397" t="s">
        <v>120</v>
      </c>
      <c r="D69" s="390" t="s">
        <v>12</v>
      </c>
      <c r="E69" s="454">
        <v>0.02</v>
      </c>
      <c r="F69" s="419">
        <v>4</v>
      </c>
      <c r="G69" s="420">
        <v>1</v>
      </c>
      <c r="H69" s="421">
        <v>0</v>
      </c>
      <c r="I69" s="422">
        <f t="shared" si="66"/>
        <v>0.25</v>
      </c>
      <c r="J69" s="425"/>
      <c r="K69" s="422">
        <f t="shared" si="67"/>
        <v>5.0000000000000001E-3</v>
      </c>
      <c r="L69" s="425"/>
      <c r="M69" s="420">
        <v>1</v>
      </c>
      <c r="N69" s="485"/>
      <c r="O69" s="481"/>
      <c r="P69" s="481"/>
      <c r="Q69" s="421"/>
      <c r="R69" s="421">
        <f t="shared" si="73"/>
        <v>0</v>
      </c>
      <c r="S69" s="493">
        <f t="shared" si="74"/>
        <v>1</v>
      </c>
      <c r="T69" s="422">
        <f t="shared" si="70"/>
        <v>1</v>
      </c>
      <c r="U69" s="425"/>
      <c r="V69" s="422">
        <f t="shared" si="75"/>
        <v>0.02</v>
      </c>
      <c r="W69" s="425"/>
      <c r="X69" s="503">
        <f t="shared" si="71"/>
        <v>0.25</v>
      </c>
      <c r="Y69" s="504">
        <f>+S69/F69</f>
        <v>0.25</v>
      </c>
      <c r="Z69" s="442">
        <f t="shared" si="76"/>
        <v>5.0000000000000001E-3</v>
      </c>
      <c r="AA69" s="443">
        <f t="shared" si="77"/>
        <v>5.0000000000000001E-3</v>
      </c>
      <c r="AB69" s="139" t="s">
        <v>1775</v>
      </c>
      <c r="AC69" s="586" t="s">
        <v>1798</v>
      </c>
      <c r="AD69" s="704" t="s">
        <v>1860</v>
      </c>
      <c r="AE69" s="106"/>
      <c r="AF69" s="106"/>
    </row>
    <row r="70" spans="1:32" ht="132.6" customHeight="1" thickBot="1" x14ac:dyDescent="0.4">
      <c r="A70" s="233"/>
      <c r="B70" s="894" t="s">
        <v>121</v>
      </c>
      <c r="C70" s="894" t="s">
        <v>122</v>
      </c>
      <c r="D70" s="390" t="s">
        <v>12</v>
      </c>
      <c r="E70" s="454">
        <v>0.02</v>
      </c>
      <c r="F70" s="419">
        <v>4</v>
      </c>
      <c r="G70" s="420">
        <v>1</v>
      </c>
      <c r="H70" s="421">
        <v>1</v>
      </c>
      <c r="I70" s="422">
        <f t="shared" si="66"/>
        <v>0.25</v>
      </c>
      <c r="J70" s="425">
        <f t="shared" si="63"/>
        <v>0.25</v>
      </c>
      <c r="K70" s="422">
        <f t="shared" si="67"/>
        <v>5.0000000000000001E-3</v>
      </c>
      <c r="L70" s="425">
        <f t="shared" si="34"/>
        <v>5.0000000000000001E-3</v>
      </c>
      <c r="M70" s="420">
        <v>1</v>
      </c>
      <c r="N70" s="485">
        <v>0.25</v>
      </c>
      <c r="O70" s="481">
        <v>0.25</v>
      </c>
      <c r="P70" s="481">
        <v>0</v>
      </c>
      <c r="Q70" s="421"/>
      <c r="R70" s="421">
        <f t="shared" si="73"/>
        <v>0.5</v>
      </c>
      <c r="S70" s="493">
        <f t="shared" si="74"/>
        <v>1.5</v>
      </c>
      <c r="T70" s="422">
        <f t="shared" si="70"/>
        <v>1</v>
      </c>
      <c r="U70" s="425">
        <f t="shared" si="46"/>
        <v>0.5</v>
      </c>
      <c r="V70" s="422">
        <f t="shared" si="75"/>
        <v>0.02</v>
      </c>
      <c r="W70" s="425">
        <f t="shared" si="47"/>
        <v>0.01</v>
      </c>
      <c r="X70" s="503">
        <f t="shared" si="71"/>
        <v>0.25</v>
      </c>
      <c r="Y70" s="504">
        <f t="shared" si="48"/>
        <v>0.375</v>
      </c>
      <c r="Z70" s="442">
        <f t="shared" si="76"/>
        <v>5.0000000000000001E-3</v>
      </c>
      <c r="AA70" s="443">
        <f t="shared" si="77"/>
        <v>7.4999999999999997E-3</v>
      </c>
      <c r="AB70" s="139" t="s">
        <v>1775</v>
      </c>
      <c r="AC70" s="586" t="s">
        <v>1798</v>
      </c>
      <c r="AD70" s="704" t="s">
        <v>1860</v>
      </c>
      <c r="AE70" s="106"/>
      <c r="AF70" s="106"/>
    </row>
    <row r="71" spans="1:32" ht="132.6" customHeight="1" thickBot="1" x14ac:dyDescent="0.4">
      <c r="A71" s="233"/>
      <c r="B71" s="894" t="s">
        <v>123</v>
      </c>
      <c r="C71" s="894" t="s">
        <v>124</v>
      </c>
      <c r="D71" s="390" t="s">
        <v>12</v>
      </c>
      <c r="E71" s="454">
        <v>0.08</v>
      </c>
      <c r="F71" s="419">
        <v>8</v>
      </c>
      <c r="G71" s="420">
        <v>2</v>
      </c>
      <c r="H71" s="421">
        <v>0</v>
      </c>
      <c r="I71" s="422">
        <f t="shared" si="66"/>
        <v>0.25</v>
      </c>
      <c r="J71" s="425"/>
      <c r="K71" s="422">
        <f t="shared" si="67"/>
        <v>0.02</v>
      </c>
      <c r="L71" s="425"/>
      <c r="M71" s="420">
        <v>2</v>
      </c>
      <c r="N71" s="485"/>
      <c r="O71" s="481"/>
      <c r="P71" s="481"/>
      <c r="Q71" s="421"/>
      <c r="R71" s="421">
        <f t="shared" si="73"/>
        <v>0</v>
      </c>
      <c r="S71" s="493">
        <f t="shared" si="74"/>
        <v>2</v>
      </c>
      <c r="T71" s="422">
        <f t="shared" si="70"/>
        <v>1</v>
      </c>
      <c r="U71" s="425"/>
      <c r="V71" s="422">
        <f t="shared" si="75"/>
        <v>0.08</v>
      </c>
      <c r="W71" s="425"/>
      <c r="X71" s="503">
        <f t="shared" si="71"/>
        <v>0.25</v>
      </c>
      <c r="Y71" s="504">
        <f t="shared" si="48"/>
        <v>0.25</v>
      </c>
      <c r="Z71" s="442">
        <f t="shared" si="76"/>
        <v>0.02</v>
      </c>
      <c r="AA71" s="443">
        <f t="shared" si="77"/>
        <v>0.02</v>
      </c>
      <c r="AB71" s="139" t="s">
        <v>1775</v>
      </c>
      <c r="AC71" s="586" t="s">
        <v>1798</v>
      </c>
      <c r="AD71" s="704" t="s">
        <v>1860</v>
      </c>
      <c r="AE71" s="106"/>
      <c r="AF71" s="106"/>
    </row>
    <row r="72" spans="1:32" ht="132.6" customHeight="1" thickBot="1" x14ac:dyDescent="0.4">
      <c r="A72" s="233"/>
      <c r="B72" s="894" t="s">
        <v>125</v>
      </c>
      <c r="C72" s="894" t="s">
        <v>126</v>
      </c>
      <c r="D72" s="390" t="s">
        <v>12</v>
      </c>
      <c r="E72" s="454">
        <v>0.05</v>
      </c>
      <c r="F72" s="419">
        <v>4</v>
      </c>
      <c r="G72" s="420">
        <v>0</v>
      </c>
      <c r="H72" s="421">
        <v>0</v>
      </c>
      <c r="I72" s="422"/>
      <c r="J72" s="425"/>
      <c r="K72" s="422"/>
      <c r="L72" s="425">
        <f t="shared" si="34"/>
        <v>0</v>
      </c>
      <c r="M72" s="420"/>
      <c r="N72" s="485"/>
      <c r="O72" s="481"/>
      <c r="P72" s="481"/>
      <c r="Q72" s="421"/>
      <c r="R72" s="421">
        <f t="shared" si="73"/>
        <v>0</v>
      </c>
      <c r="S72" s="493">
        <f t="shared" si="74"/>
        <v>0</v>
      </c>
      <c r="T72" s="422"/>
      <c r="U72" s="425"/>
      <c r="V72" s="422"/>
      <c r="W72" s="425"/>
      <c r="X72" s="503"/>
      <c r="Y72" s="504"/>
      <c r="Z72" s="442">
        <v>0</v>
      </c>
      <c r="AA72" s="443">
        <v>0</v>
      </c>
      <c r="AB72" s="139" t="s">
        <v>1775</v>
      </c>
      <c r="AC72" s="586" t="s">
        <v>1798</v>
      </c>
      <c r="AD72" s="704" t="s">
        <v>1860</v>
      </c>
      <c r="AE72" s="106"/>
      <c r="AF72" s="106"/>
    </row>
    <row r="73" spans="1:32" ht="132.6" customHeight="1" thickBot="1" x14ac:dyDescent="0.4">
      <c r="A73" s="233"/>
      <c r="B73" s="893" t="s">
        <v>127</v>
      </c>
      <c r="C73" s="893" t="s">
        <v>128</v>
      </c>
      <c r="D73" s="390" t="s">
        <v>12</v>
      </c>
      <c r="E73" s="454">
        <v>0.05</v>
      </c>
      <c r="F73" s="419">
        <v>8</v>
      </c>
      <c r="G73" s="420">
        <v>2</v>
      </c>
      <c r="H73" s="421">
        <v>2</v>
      </c>
      <c r="I73" s="422">
        <f t="shared" si="66"/>
        <v>0.25</v>
      </c>
      <c r="J73" s="425">
        <f t="shared" si="63"/>
        <v>0.25</v>
      </c>
      <c r="K73" s="422">
        <f t="shared" si="67"/>
        <v>1.2500000000000001E-2</v>
      </c>
      <c r="L73" s="425">
        <f t="shared" si="34"/>
        <v>1.2500000000000001E-2</v>
      </c>
      <c r="M73" s="420">
        <v>2</v>
      </c>
      <c r="N73" s="485">
        <v>0</v>
      </c>
      <c r="O73" s="481">
        <v>3</v>
      </c>
      <c r="P73" s="481">
        <v>0</v>
      </c>
      <c r="Q73" s="421"/>
      <c r="R73" s="421">
        <f t="shared" si="73"/>
        <v>3</v>
      </c>
      <c r="S73" s="493">
        <f t="shared" si="74"/>
        <v>5</v>
      </c>
      <c r="T73" s="422">
        <f t="shared" si="70"/>
        <v>1</v>
      </c>
      <c r="U73" s="425">
        <v>1</v>
      </c>
      <c r="V73" s="422">
        <f>+T73*E73</f>
        <v>0.05</v>
      </c>
      <c r="W73" s="425">
        <f>+U73*E73</f>
        <v>0.05</v>
      </c>
      <c r="X73" s="503">
        <f t="shared" si="71"/>
        <v>0.25</v>
      </c>
      <c r="Y73" s="504">
        <f t="shared" si="48"/>
        <v>0.625</v>
      </c>
      <c r="Z73" s="442">
        <f>+X73*E73</f>
        <v>1.2500000000000001E-2</v>
      </c>
      <c r="AA73" s="443">
        <f>+Y73*E73</f>
        <v>3.125E-2</v>
      </c>
      <c r="AB73" s="139" t="s">
        <v>1775</v>
      </c>
      <c r="AC73" s="586" t="s">
        <v>1798</v>
      </c>
      <c r="AD73" s="704" t="s">
        <v>1860</v>
      </c>
      <c r="AE73" s="106"/>
      <c r="AF73" s="106"/>
    </row>
    <row r="74" spans="1:32" ht="132.6" customHeight="1" thickBot="1" x14ac:dyDescent="0.4">
      <c r="A74" s="233"/>
      <c r="B74" s="893" t="s">
        <v>129</v>
      </c>
      <c r="C74" s="893" t="s">
        <v>130</v>
      </c>
      <c r="D74" s="390" t="s">
        <v>12</v>
      </c>
      <c r="E74" s="454">
        <v>0.02</v>
      </c>
      <c r="F74" s="419">
        <v>2</v>
      </c>
      <c r="G74" s="420">
        <v>0</v>
      </c>
      <c r="H74" s="421">
        <v>1</v>
      </c>
      <c r="I74" s="422"/>
      <c r="J74" s="425">
        <f t="shared" si="63"/>
        <v>0.5</v>
      </c>
      <c r="K74" s="422"/>
      <c r="L74" s="425">
        <f t="shared" si="34"/>
        <v>0.01</v>
      </c>
      <c r="M74" s="420"/>
      <c r="N74" s="485">
        <v>0</v>
      </c>
      <c r="O74" s="481">
        <v>1</v>
      </c>
      <c r="P74" s="481">
        <v>0</v>
      </c>
      <c r="Q74" s="421"/>
      <c r="R74" s="421">
        <f>+N74+O74+P74+Q74</f>
        <v>1</v>
      </c>
      <c r="S74" s="493">
        <f t="shared" si="74"/>
        <v>1</v>
      </c>
      <c r="T74" s="422"/>
      <c r="U74" s="425">
        <f>+R74/H74</f>
        <v>1</v>
      </c>
      <c r="V74" s="422"/>
      <c r="W74" s="429">
        <f>+U74*E74</f>
        <v>0.02</v>
      </c>
      <c r="X74" s="442"/>
      <c r="Y74" s="511">
        <f t="shared" ref="Y74" si="78">+S74/F74</f>
        <v>0.5</v>
      </c>
      <c r="Z74" s="442">
        <v>0</v>
      </c>
      <c r="AA74" s="443">
        <v>0</v>
      </c>
      <c r="AB74" s="139" t="s">
        <v>1775</v>
      </c>
      <c r="AC74" s="586" t="s">
        <v>1798</v>
      </c>
      <c r="AD74" s="704" t="s">
        <v>1860</v>
      </c>
      <c r="AE74" s="106"/>
      <c r="AF74" s="106"/>
    </row>
    <row r="75" spans="1:32" ht="132.6" customHeight="1" thickBot="1" x14ac:dyDescent="0.45">
      <c r="A75" s="233"/>
      <c r="B75" s="893" t="s">
        <v>131</v>
      </c>
      <c r="C75" s="893" t="s">
        <v>132</v>
      </c>
      <c r="D75" s="390" t="s">
        <v>12</v>
      </c>
      <c r="E75" s="454">
        <v>0.08</v>
      </c>
      <c r="F75" s="419">
        <v>1</v>
      </c>
      <c r="G75" s="420">
        <v>0</v>
      </c>
      <c r="H75" s="421">
        <v>0</v>
      </c>
      <c r="I75" s="422"/>
      <c r="J75" s="425"/>
      <c r="K75" s="422"/>
      <c r="L75" s="425"/>
      <c r="M75" s="420"/>
      <c r="N75" s="485"/>
      <c r="O75" s="481"/>
      <c r="P75" s="421"/>
      <c r="Q75" s="421"/>
      <c r="R75" s="421">
        <f t="shared" si="73"/>
        <v>0</v>
      </c>
      <c r="S75" s="493">
        <f t="shared" si="74"/>
        <v>0</v>
      </c>
      <c r="T75" s="422"/>
      <c r="U75" s="425"/>
      <c r="V75" s="442"/>
      <c r="W75" s="600"/>
      <c r="Y75" s="600"/>
      <c r="Z75" s="442">
        <f>+X74*E75</f>
        <v>0</v>
      </c>
      <c r="AA75" s="443">
        <f>+Y74*E75</f>
        <v>0.04</v>
      </c>
      <c r="AB75" s="139" t="s">
        <v>1775</v>
      </c>
      <c r="AC75" s="586" t="s">
        <v>1798</v>
      </c>
      <c r="AD75" s="704" t="s">
        <v>1860</v>
      </c>
      <c r="AE75" s="106"/>
      <c r="AF75" s="106"/>
    </row>
    <row r="76" spans="1:32" ht="132.6" customHeight="1" thickBot="1" x14ac:dyDescent="0.4">
      <c r="A76" s="233"/>
      <c r="B76" s="893" t="s">
        <v>133</v>
      </c>
      <c r="C76" s="893" t="s">
        <v>134</v>
      </c>
      <c r="D76" s="390" t="s">
        <v>12</v>
      </c>
      <c r="E76" s="454">
        <v>0.08</v>
      </c>
      <c r="F76" s="419">
        <v>1</v>
      </c>
      <c r="G76" s="420">
        <v>0</v>
      </c>
      <c r="H76" s="421">
        <v>0</v>
      </c>
      <c r="I76" s="422"/>
      <c r="J76" s="425"/>
      <c r="K76" s="422"/>
      <c r="L76" s="425"/>
      <c r="M76" s="420"/>
      <c r="N76" s="485"/>
      <c r="O76" s="481"/>
      <c r="P76" s="421"/>
      <c r="Q76" s="421"/>
      <c r="R76" s="421">
        <f t="shared" si="73"/>
        <v>0</v>
      </c>
      <c r="S76" s="493">
        <f t="shared" si="74"/>
        <v>0</v>
      </c>
      <c r="T76" s="422"/>
      <c r="U76" s="425"/>
      <c r="V76" s="422"/>
      <c r="W76" s="463"/>
      <c r="X76" s="442"/>
      <c r="Y76" s="517"/>
      <c r="Z76" s="442">
        <v>0</v>
      </c>
      <c r="AA76" s="443">
        <v>0</v>
      </c>
      <c r="AB76" s="139" t="s">
        <v>1775</v>
      </c>
      <c r="AC76" s="586" t="s">
        <v>1798</v>
      </c>
      <c r="AD76" s="704" t="s">
        <v>1860</v>
      </c>
      <c r="AE76" s="106"/>
      <c r="AF76" s="106"/>
    </row>
    <row r="77" spans="1:32" ht="42.75" customHeight="1" thickBot="1" x14ac:dyDescent="0.45">
      <c r="A77" s="233"/>
      <c r="B77" s="946" t="s">
        <v>1533</v>
      </c>
      <c r="C77" s="945"/>
      <c r="D77" s="390"/>
      <c r="E77" s="415">
        <v>0.1</v>
      </c>
      <c r="F77" s="418"/>
      <c r="G77" s="418"/>
      <c r="H77" s="424"/>
      <c r="I77" s="417">
        <f>+AVERAGE(I78:I86)</f>
        <v>0.25</v>
      </c>
      <c r="J77" s="417">
        <f>+AVERAGE(J78:J86)</f>
        <v>0.37172965116279072</v>
      </c>
      <c r="K77" s="417">
        <f>+K78+K79+K80+K81+K82+K83+K84+K85+K86</f>
        <v>0.13750000000000001</v>
      </c>
      <c r="L77" s="417">
        <f>+L78+L79+L80+L81+L82+L83+L84+L85+L86</f>
        <v>0.33712209302325585</v>
      </c>
      <c r="M77" s="418"/>
      <c r="N77" s="424"/>
      <c r="O77" s="424"/>
      <c r="P77" s="424"/>
      <c r="Q77" s="424"/>
      <c r="R77" s="424"/>
      <c r="S77" s="424"/>
      <c r="T77" s="483">
        <f>+AVERAGE(T78:T86)</f>
        <v>0.95625000000000004</v>
      </c>
      <c r="U77" s="483">
        <f>+AVERAGE(U78:U86)</f>
        <v>0.75175000000000003</v>
      </c>
      <c r="V77" s="483">
        <f>+(V78+V79+V80+V81+V82+V83+V84+V85+V86)*E77</f>
        <v>5.2593749999999995E-2</v>
      </c>
      <c r="W77" s="483">
        <f>+(W78+W79+W80+W81+W82+W83+W84+W85+W86)*E77</f>
        <v>6.6154000000000004E-2</v>
      </c>
      <c r="X77" s="438">
        <f>+AVERAGE(X78:X86)</f>
        <v>0.19921875</v>
      </c>
      <c r="Y77" s="508">
        <f>+AVERAGE(Y78:Y86)</f>
        <v>0.38335271317829456</v>
      </c>
      <c r="Z77" s="438">
        <f>+(Z78+Z79+Z80+Z81+Z82+Z83+Z84+Z85+Z86)*E77</f>
        <v>1.3148437499999999E-2</v>
      </c>
      <c r="AA77" s="499">
        <f>+(AA78+AA79+AA80+AA81+AA82+AA83+AA84+AA85+AA86)</f>
        <v>0.37951918604651158</v>
      </c>
      <c r="AB77" s="132"/>
      <c r="AC77" s="388"/>
      <c r="AD77" s="388"/>
      <c r="AE77" s="106"/>
      <c r="AF77" s="106"/>
    </row>
    <row r="78" spans="1:32" ht="79.95" customHeight="1" thickBot="1" x14ac:dyDescent="0.4">
      <c r="A78" s="233"/>
      <c r="B78" s="894" t="s">
        <v>135</v>
      </c>
      <c r="C78" s="894" t="s">
        <v>136</v>
      </c>
      <c r="D78" s="390" t="s">
        <v>12</v>
      </c>
      <c r="E78" s="286">
        <v>0.11</v>
      </c>
      <c r="F78" s="419">
        <v>8</v>
      </c>
      <c r="G78" s="420">
        <v>0</v>
      </c>
      <c r="H78" s="421">
        <v>3</v>
      </c>
      <c r="I78" s="422"/>
      <c r="J78" s="425">
        <f t="shared" si="63"/>
        <v>0.375</v>
      </c>
      <c r="K78" s="422"/>
      <c r="L78" s="425">
        <f>+(H78/F78)*E78</f>
        <v>4.1250000000000002E-2</v>
      </c>
      <c r="M78" s="420"/>
      <c r="N78" s="485">
        <v>0</v>
      </c>
      <c r="O78" s="481">
        <v>4</v>
      </c>
      <c r="P78" s="481">
        <v>0</v>
      </c>
      <c r="Q78" s="421"/>
      <c r="R78" s="421">
        <f>+N78+O78+P78+Q78</f>
        <v>4</v>
      </c>
      <c r="S78" s="421">
        <f>+R78+M78</f>
        <v>4</v>
      </c>
      <c r="T78" s="422"/>
      <c r="U78" s="459">
        <v>1</v>
      </c>
      <c r="V78" s="474"/>
      <c r="W78" s="459">
        <f t="shared" si="47"/>
        <v>0.11</v>
      </c>
      <c r="X78" s="503"/>
      <c r="Y78" s="512">
        <f t="shared" ref="Y78:Y90" si="79">+S78/F78</f>
        <v>0.5</v>
      </c>
      <c r="Z78" s="442">
        <v>0</v>
      </c>
      <c r="AA78" s="443">
        <f>+Y78*E78</f>
        <v>5.5E-2</v>
      </c>
      <c r="AB78" s="139" t="s">
        <v>1775</v>
      </c>
      <c r="AC78" s="604" t="s">
        <v>1810</v>
      </c>
      <c r="AD78" s="704" t="s">
        <v>1860</v>
      </c>
      <c r="AE78" s="106"/>
      <c r="AF78" s="106"/>
    </row>
    <row r="79" spans="1:32" ht="86.4" customHeight="1" thickBot="1" x14ac:dyDescent="0.4">
      <c r="A79" s="233"/>
      <c r="B79" s="894" t="s">
        <v>137</v>
      </c>
      <c r="C79" s="894" t="s">
        <v>138</v>
      </c>
      <c r="D79" s="390" t="s">
        <v>12</v>
      </c>
      <c r="E79" s="286">
        <v>0.11</v>
      </c>
      <c r="F79" s="419">
        <f>64*4</f>
        <v>256</v>
      </c>
      <c r="G79" s="420">
        <v>64</v>
      </c>
      <c r="H79" s="421">
        <v>64</v>
      </c>
      <c r="I79" s="422">
        <f t="shared" ref="I79:I86" si="80">+G79/F79</f>
        <v>0.25</v>
      </c>
      <c r="J79" s="425">
        <f t="shared" si="63"/>
        <v>0.25</v>
      </c>
      <c r="K79" s="422">
        <f t="shared" ref="K79:K86" si="81">+(G79/F79)*E79</f>
        <v>2.75E-2</v>
      </c>
      <c r="L79" s="425">
        <f t="shared" si="34"/>
        <v>2.75E-2</v>
      </c>
      <c r="M79" s="420">
        <v>50</v>
      </c>
      <c r="N79" s="485">
        <v>23</v>
      </c>
      <c r="O79" s="481">
        <v>9</v>
      </c>
      <c r="P79" s="481">
        <v>1</v>
      </c>
      <c r="Q79" s="421"/>
      <c r="R79" s="421">
        <f t="shared" ref="R79:R86" si="82">+N79+O79+P79+Q79</f>
        <v>33</v>
      </c>
      <c r="S79" s="421">
        <f t="shared" ref="S79:S86" si="83">+R79+M79</f>
        <v>83</v>
      </c>
      <c r="T79" s="422">
        <f>+(M79/G79)</f>
        <v>0.78125</v>
      </c>
      <c r="U79" s="459">
        <v>0.76600000000000001</v>
      </c>
      <c r="V79" s="474">
        <f>+T79*E79</f>
        <v>8.59375E-2</v>
      </c>
      <c r="W79" s="459">
        <f t="shared" si="47"/>
        <v>8.4260000000000002E-2</v>
      </c>
      <c r="X79" s="503">
        <f>+M79/F79</f>
        <v>0.1953125</v>
      </c>
      <c r="Y79" s="504">
        <f>37.8%+6.25%</f>
        <v>0.44049999999999995</v>
      </c>
      <c r="Z79" s="442">
        <f>+X79*E79</f>
        <v>2.1484375E-2</v>
      </c>
      <c r="AA79" s="443">
        <f>+Y79*E79</f>
        <v>4.8454999999999991E-2</v>
      </c>
      <c r="AB79" s="139" t="s">
        <v>1775</v>
      </c>
      <c r="AC79" s="586" t="s">
        <v>1798</v>
      </c>
      <c r="AD79" s="704" t="s">
        <v>1860</v>
      </c>
      <c r="AE79" s="106"/>
      <c r="AF79" s="106"/>
    </row>
    <row r="80" spans="1:32" ht="80.400000000000006" customHeight="1" thickBot="1" x14ac:dyDescent="0.4">
      <c r="A80" s="233"/>
      <c r="B80" s="894" t="s">
        <v>139</v>
      </c>
      <c r="C80" s="894" t="s">
        <v>140</v>
      </c>
      <c r="D80" s="390" t="s">
        <v>12</v>
      </c>
      <c r="E80" s="286">
        <v>0.11</v>
      </c>
      <c r="F80" s="419">
        <v>9</v>
      </c>
      <c r="G80" s="420">
        <v>0</v>
      </c>
      <c r="H80" s="421">
        <v>0</v>
      </c>
      <c r="I80" s="422"/>
      <c r="J80" s="425"/>
      <c r="K80" s="422"/>
      <c r="L80" s="425"/>
      <c r="M80" s="420"/>
      <c r="N80" s="485"/>
      <c r="O80" s="481"/>
      <c r="P80" s="481"/>
      <c r="Q80" s="421"/>
      <c r="R80" s="421">
        <f t="shared" si="82"/>
        <v>0</v>
      </c>
      <c r="S80" s="421">
        <f t="shared" si="83"/>
        <v>0</v>
      </c>
      <c r="T80" s="422"/>
      <c r="U80" s="459"/>
      <c r="V80" s="474"/>
      <c r="W80" s="459"/>
      <c r="X80" s="503">
        <v>0</v>
      </c>
      <c r="Y80" s="504">
        <v>0</v>
      </c>
      <c r="Z80" s="442">
        <v>0</v>
      </c>
      <c r="AA80" s="443">
        <f t="shared" ref="AA80:AA81" si="84">+Y80*E80</f>
        <v>0</v>
      </c>
      <c r="AB80" s="139" t="s">
        <v>1775</v>
      </c>
      <c r="AC80" s="586" t="s">
        <v>1798</v>
      </c>
      <c r="AD80" s="704" t="s">
        <v>1860</v>
      </c>
      <c r="AE80" s="106"/>
      <c r="AF80" s="106"/>
    </row>
    <row r="81" spans="1:32" ht="113.4" customHeight="1" thickBot="1" x14ac:dyDescent="0.4">
      <c r="A81" s="233"/>
      <c r="B81" s="397" t="s">
        <v>141</v>
      </c>
      <c r="C81" s="397" t="s">
        <v>142</v>
      </c>
      <c r="D81" s="390" t="s">
        <v>12</v>
      </c>
      <c r="E81" s="286">
        <v>0.12</v>
      </c>
      <c r="F81" s="419">
        <v>1</v>
      </c>
      <c r="G81" s="420">
        <v>0</v>
      </c>
      <c r="H81" s="421">
        <v>1</v>
      </c>
      <c r="I81" s="422"/>
      <c r="J81" s="425">
        <f t="shared" si="63"/>
        <v>1</v>
      </c>
      <c r="K81" s="422"/>
      <c r="L81" s="425">
        <f t="shared" si="34"/>
        <v>0.12</v>
      </c>
      <c r="M81" s="420"/>
      <c r="N81" s="485">
        <v>0</v>
      </c>
      <c r="O81" s="481"/>
      <c r="P81" s="481"/>
      <c r="Q81" s="421"/>
      <c r="R81" s="421">
        <f t="shared" si="82"/>
        <v>0</v>
      </c>
      <c r="S81" s="421">
        <f t="shared" si="83"/>
        <v>0</v>
      </c>
      <c r="T81" s="422"/>
      <c r="U81" s="459">
        <f t="shared" ref="U81:U90" si="85">+R81/H81</f>
        <v>0</v>
      </c>
      <c r="V81" s="474"/>
      <c r="W81" s="459">
        <f t="shared" si="47"/>
        <v>0</v>
      </c>
      <c r="X81" s="503"/>
      <c r="Y81" s="504">
        <v>0</v>
      </c>
      <c r="Z81" s="442">
        <v>0</v>
      </c>
      <c r="AA81" s="443">
        <f t="shared" si="84"/>
        <v>0</v>
      </c>
      <c r="AB81" s="139" t="s">
        <v>1775</v>
      </c>
      <c r="AC81" s="604" t="s">
        <v>1810</v>
      </c>
      <c r="AD81" s="704" t="s">
        <v>1860</v>
      </c>
      <c r="AE81" s="106"/>
      <c r="AF81" s="106"/>
    </row>
    <row r="82" spans="1:32" ht="105" customHeight="1" thickBot="1" x14ac:dyDescent="0.4">
      <c r="A82" s="233"/>
      <c r="B82" s="397" t="s">
        <v>143</v>
      </c>
      <c r="C82" s="397" t="s">
        <v>144</v>
      </c>
      <c r="D82" s="390" t="s">
        <v>12</v>
      </c>
      <c r="E82" s="286">
        <v>0.11</v>
      </c>
      <c r="F82" s="419">
        <v>4</v>
      </c>
      <c r="G82" s="420">
        <v>1</v>
      </c>
      <c r="H82" s="421">
        <v>1</v>
      </c>
      <c r="I82" s="422">
        <f t="shared" si="80"/>
        <v>0.25</v>
      </c>
      <c r="J82" s="425">
        <f t="shared" si="63"/>
        <v>0.25</v>
      </c>
      <c r="K82" s="422">
        <f t="shared" si="81"/>
        <v>2.75E-2</v>
      </c>
      <c r="L82" s="425">
        <f t="shared" si="34"/>
        <v>2.75E-2</v>
      </c>
      <c r="M82" s="420">
        <v>1</v>
      </c>
      <c r="N82" s="485">
        <v>0</v>
      </c>
      <c r="O82" s="481">
        <v>1</v>
      </c>
      <c r="P82" s="481">
        <v>0</v>
      </c>
      <c r="Q82" s="421"/>
      <c r="R82" s="421">
        <f t="shared" si="82"/>
        <v>1</v>
      </c>
      <c r="S82" s="421">
        <f t="shared" si="83"/>
        <v>2</v>
      </c>
      <c r="T82" s="422">
        <f>+(M82/G82)</f>
        <v>1</v>
      </c>
      <c r="U82" s="459">
        <f t="shared" si="85"/>
        <v>1</v>
      </c>
      <c r="V82" s="474">
        <f>+T82*E82</f>
        <v>0.11</v>
      </c>
      <c r="W82" s="459">
        <f t="shared" si="47"/>
        <v>0.11</v>
      </c>
      <c r="X82" s="503">
        <f>+M82/F82</f>
        <v>0.25</v>
      </c>
      <c r="Y82" s="504">
        <f t="shared" si="79"/>
        <v>0.5</v>
      </c>
      <c r="Z82" s="442">
        <f>+X82*E82</f>
        <v>2.75E-2</v>
      </c>
      <c r="AA82" s="443">
        <f>+Y82*E82</f>
        <v>5.5E-2</v>
      </c>
      <c r="AB82" s="139" t="s">
        <v>1775</v>
      </c>
      <c r="AC82" s="586" t="s">
        <v>1798</v>
      </c>
      <c r="AD82" s="704" t="s">
        <v>1860</v>
      </c>
      <c r="AE82" s="106"/>
      <c r="AF82" s="106"/>
    </row>
    <row r="83" spans="1:32" ht="73.2" customHeight="1" thickBot="1" x14ac:dyDescent="0.4">
      <c r="A83" s="233"/>
      <c r="B83" s="894" t="s">
        <v>145</v>
      </c>
      <c r="C83" s="894" t="s">
        <v>146</v>
      </c>
      <c r="D83" s="390" t="s">
        <v>12</v>
      </c>
      <c r="E83" s="286">
        <v>0.11</v>
      </c>
      <c r="F83" s="419">
        <v>4</v>
      </c>
      <c r="G83" s="420">
        <v>1</v>
      </c>
      <c r="H83" s="421">
        <v>1</v>
      </c>
      <c r="I83" s="422">
        <f t="shared" si="80"/>
        <v>0.25</v>
      </c>
      <c r="J83" s="425">
        <f t="shared" si="63"/>
        <v>0.25</v>
      </c>
      <c r="K83" s="422">
        <f t="shared" si="81"/>
        <v>2.75E-2</v>
      </c>
      <c r="L83" s="425">
        <f t="shared" si="34"/>
        <v>2.75E-2</v>
      </c>
      <c r="M83" s="420">
        <v>1</v>
      </c>
      <c r="N83" s="485">
        <v>0</v>
      </c>
      <c r="O83" s="481">
        <v>0.5</v>
      </c>
      <c r="P83" s="481">
        <v>0.25</v>
      </c>
      <c r="Q83" s="421"/>
      <c r="R83" s="421">
        <f t="shared" si="82"/>
        <v>0.75</v>
      </c>
      <c r="S83" s="421">
        <f t="shared" si="83"/>
        <v>1.75</v>
      </c>
      <c r="T83" s="422">
        <f>+(M83/G83)</f>
        <v>1</v>
      </c>
      <c r="U83" s="459">
        <f t="shared" si="85"/>
        <v>0.75</v>
      </c>
      <c r="V83" s="474">
        <f>+T83*E83</f>
        <v>0.11</v>
      </c>
      <c r="W83" s="459">
        <f t="shared" si="47"/>
        <v>8.2500000000000004E-2</v>
      </c>
      <c r="X83" s="503">
        <f>+M83/F83</f>
        <v>0.25</v>
      </c>
      <c r="Y83" s="504">
        <f t="shared" si="79"/>
        <v>0.4375</v>
      </c>
      <c r="Z83" s="442">
        <f>+X83*E83</f>
        <v>2.75E-2</v>
      </c>
      <c r="AA83" s="443">
        <f>+Y83*E83</f>
        <v>4.8125000000000001E-2</v>
      </c>
      <c r="AB83" s="139" t="s">
        <v>1775</v>
      </c>
      <c r="AC83" s="586" t="s">
        <v>1798</v>
      </c>
      <c r="AD83" s="704" t="s">
        <v>1860</v>
      </c>
      <c r="AE83" s="106"/>
      <c r="AF83" s="106"/>
    </row>
    <row r="84" spans="1:32" ht="94.95" customHeight="1" thickBot="1" x14ac:dyDescent="0.4">
      <c r="A84" s="233"/>
      <c r="B84" s="397" t="s">
        <v>147</v>
      </c>
      <c r="C84" s="397" t="s">
        <v>148</v>
      </c>
      <c r="D84" s="390" t="s">
        <v>12</v>
      </c>
      <c r="E84" s="286">
        <v>0.11</v>
      </c>
      <c r="F84" s="419">
        <v>1</v>
      </c>
      <c r="G84" s="420">
        <v>0.25</v>
      </c>
      <c r="H84" s="421">
        <v>0.25</v>
      </c>
      <c r="I84" s="422">
        <f t="shared" si="80"/>
        <v>0.25</v>
      </c>
      <c r="J84" s="425">
        <f t="shared" si="63"/>
        <v>0.25</v>
      </c>
      <c r="K84" s="422">
        <f t="shared" si="81"/>
        <v>2.75E-2</v>
      </c>
      <c r="L84" s="425">
        <f t="shared" si="34"/>
        <v>2.75E-2</v>
      </c>
      <c r="M84" s="465">
        <v>0.25</v>
      </c>
      <c r="N84" s="485">
        <v>6.25E-2</v>
      </c>
      <c r="O84" s="817">
        <v>6.25E-2</v>
      </c>
      <c r="P84" s="817">
        <v>6.2E-2</v>
      </c>
      <c r="Q84" s="458"/>
      <c r="R84" s="421">
        <f t="shared" si="82"/>
        <v>0.187</v>
      </c>
      <c r="S84" s="421">
        <f t="shared" si="83"/>
        <v>0.437</v>
      </c>
      <c r="T84" s="422">
        <f>+(M84/G84)</f>
        <v>1</v>
      </c>
      <c r="U84" s="459">
        <f t="shared" si="85"/>
        <v>0.748</v>
      </c>
      <c r="V84" s="474">
        <f>+T84*E84</f>
        <v>0.11</v>
      </c>
      <c r="W84" s="459">
        <f t="shared" si="47"/>
        <v>8.2280000000000006E-2</v>
      </c>
      <c r="X84" s="503">
        <f>+M84/F84</f>
        <v>0.25</v>
      </c>
      <c r="Y84" s="504">
        <f t="shared" si="79"/>
        <v>0.437</v>
      </c>
      <c r="Z84" s="442">
        <f>+X84*E84</f>
        <v>2.75E-2</v>
      </c>
      <c r="AA84" s="443">
        <f>+Y84*E84</f>
        <v>4.8070000000000002E-2</v>
      </c>
      <c r="AB84" s="139" t="s">
        <v>1775</v>
      </c>
      <c r="AC84" s="586" t="s">
        <v>1798</v>
      </c>
      <c r="AD84" s="704" t="s">
        <v>1860</v>
      </c>
      <c r="AE84" s="106"/>
      <c r="AF84" s="106"/>
    </row>
    <row r="85" spans="1:32" ht="95.4" customHeight="1" thickBot="1" x14ac:dyDescent="0.4">
      <c r="A85" s="233"/>
      <c r="B85" s="894" t="s">
        <v>149</v>
      </c>
      <c r="C85" s="894" t="s">
        <v>150</v>
      </c>
      <c r="D85" s="390" t="s">
        <v>12</v>
      </c>
      <c r="E85" s="286">
        <v>0.11</v>
      </c>
      <c r="F85" s="419">
        <v>86</v>
      </c>
      <c r="G85" s="420">
        <v>0</v>
      </c>
      <c r="H85" s="421">
        <v>30</v>
      </c>
      <c r="I85" s="422"/>
      <c r="J85" s="425">
        <f t="shared" si="63"/>
        <v>0.34883720930232559</v>
      </c>
      <c r="K85" s="422"/>
      <c r="L85" s="425">
        <f t="shared" si="34"/>
        <v>3.8372093023255817E-2</v>
      </c>
      <c r="M85" s="420"/>
      <c r="N85" s="485">
        <v>0</v>
      </c>
      <c r="O85" s="481">
        <v>0</v>
      </c>
      <c r="P85" s="481">
        <v>60</v>
      </c>
      <c r="Q85" s="421"/>
      <c r="R85" s="421">
        <f t="shared" si="82"/>
        <v>60</v>
      </c>
      <c r="S85" s="421">
        <f t="shared" si="83"/>
        <v>60</v>
      </c>
      <c r="T85" s="422"/>
      <c r="U85" s="459">
        <v>1</v>
      </c>
      <c r="V85" s="474"/>
      <c r="W85" s="459">
        <f t="shared" si="47"/>
        <v>0.11</v>
      </c>
      <c r="X85" s="503"/>
      <c r="Y85" s="504">
        <f t="shared" si="79"/>
        <v>0.69767441860465118</v>
      </c>
      <c r="Z85" s="442">
        <v>0</v>
      </c>
      <c r="AA85" s="443">
        <f>+Y85*E85</f>
        <v>7.6744186046511634E-2</v>
      </c>
      <c r="AB85" s="139" t="s">
        <v>1775</v>
      </c>
      <c r="AC85" s="604" t="s">
        <v>1810</v>
      </c>
      <c r="AD85" s="704" t="s">
        <v>1860</v>
      </c>
      <c r="AE85" s="106"/>
      <c r="AF85" s="106"/>
    </row>
    <row r="86" spans="1:32" ht="89.4" customHeight="1" thickBot="1" x14ac:dyDescent="0.4">
      <c r="A86" s="233"/>
      <c r="B86" s="894" t="s">
        <v>151</v>
      </c>
      <c r="C86" s="894" t="s">
        <v>152</v>
      </c>
      <c r="D86" s="390" t="s">
        <v>12</v>
      </c>
      <c r="E86" s="286">
        <v>0.11</v>
      </c>
      <c r="F86" s="419">
        <v>4</v>
      </c>
      <c r="G86" s="420">
        <v>1</v>
      </c>
      <c r="H86" s="421">
        <v>1</v>
      </c>
      <c r="I86" s="422">
        <f t="shared" si="80"/>
        <v>0.25</v>
      </c>
      <c r="J86" s="425">
        <f t="shared" si="63"/>
        <v>0.25</v>
      </c>
      <c r="K86" s="422">
        <f t="shared" si="81"/>
        <v>2.75E-2</v>
      </c>
      <c r="L86" s="425">
        <f t="shared" si="34"/>
        <v>2.75E-2</v>
      </c>
      <c r="M86" s="420">
        <v>1</v>
      </c>
      <c r="N86" s="485">
        <v>0.25</v>
      </c>
      <c r="O86" s="481">
        <v>0.25</v>
      </c>
      <c r="P86" s="481">
        <v>0.25</v>
      </c>
      <c r="Q86" s="421"/>
      <c r="R86" s="421">
        <f t="shared" si="82"/>
        <v>0.75</v>
      </c>
      <c r="S86" s="421">
        <f t="shared" si="83"/>
        <v>1.75</v>
      </c>
      <c r="T86" s="422">
        <f>+(M86/G86)</f>
        <v>1</v>
      </c>
      <c r="U86" s="459">
        <f t="shared" si="85"/>
        <v>0.75</v>
      </c>
      <c r="V86" s="474">
        <f>+T86*E86</f>
        <v>0.11</v>
      </c>
      <c r="W86" s="459">
        <f t="shared" si="47"/>
        <v>8.2500000000000004E-2</v>
      </c>
      <c r="X86" s="503">
        <f>+M86/F86</f>
        <v>0.25</v>
      </c>
      <c r="Y86" s="506">
        <f t="shared" si="79"/>
        <v>0.4375</v>
      </c>
      <c r="Z86" s="442">
        <f>+X86*E86</f>
        <v>2.75E-2</v>
      </c>
      <c r="AA86" s="443">
        <f>+Y86*E86</f>
        <v>4.8125000000000001E-2</v>
      </c>
      <c r="AB86" s="139" t="s">
        <v>1775</v>
      </c>
      <c r="AC86" s="586" t="s">
        <v>1798</v>
      </c>
      <c r="AD86" s="704" t="s">
        <v>1860</v>
      </c>
      <c r="AE86" s="106"/>
      <c r="AF86" s="106"/>
    </row>
    <row r="87" spans="1:32" ht="72" customHeight="1" thickBot="1" x14ac:dyDescent="0.45">
      <c r="A87" s="233"/>
      <c r="B87" s="946" t="s">
        <v>1534</v>
      </c>
      <c r="C87" s="945"/>
      <c r="D87" s="390"/>
      <c r="E87" s="415">
        <v>0.1</v>
      </c>
      <c r="F87" s="418"/>
      <c r="G87" s="418"/>
      <c r="H87" s="424"/>
      <c r="I87" s="417">
        <f>+AVERAGE(I88:I90)</f>
        <v>0.25</v>
      </c>
      <c r="J87" s="417">
        <f>+AVERAGE(J88:J90)</f>
        <v>0.25</v>
      </c>
      <c r="K87" s="417">
        <f>+K88+K89+K90</f>
        <v>0.125</v>
      </c>
      <c r="L87" s="417">
        <f>+L88+L89+L90</f>
        <v>0.125</v>
      </c>
      <c r="M87" s="418"/>
      <c r="N87" s="424"/>
      <c r="O87" s="424"/>
      <c r="P87" s="424"/>
      <c r="Q87" s="424"/>
      <c r="R87" s="424"/>
      <c r="S87" s="424"/>
      <c r="T87" s="483">
        <f>+AVERAGE(T88:T90)</f>
        <v>1</v>
      </c>
      <c r="U87" s="483">
        <f>+AVERAGE(U88:U90)</f>
        <v>0.5</v>
      </c>
      <c r="V87" s="483">
        <f>+(V88+V89+V90)*E87</f>
        <v>0.05</v>
      </c>
      <c r="W87" s="483">
        <f>+(W88+W89+W90)*E87</f>
        <v>2.5000000000000001E-2</v>
      </c>
      <c r="X87" s="438">
        <f>+AVERAGE(X88:X90)</f>
        <v>0.25</v>
      </c>
      <c r="Y87" s="508">
        <f>+X87+((Y89-X89)/3)+((Y90-X90)/3)</f>
        <v>0.33333333333333331</v>
      </c>
      <c r="Z87" s="438">
        <f>+(Z88+Z89+Z90)*E87</f>
        <v>1.2500000000000001E-2</v>
      </c>
      <c r="AA87" s="499">
        <f>+(AA88+AA89+AA90)</f>
        <v>0.1875</v>
      </c>
      <c r="AB87" s="132"/>
      <c r="AC87" s="388"/>
      <c r="AD87" s="388"/>
      <c r="AE87" s="106"/>
      <c r="AF87" s="106"/>
    </row>
    <row r="88" spans="1:32" ht="126" customHeight="1" thickBot="1" x14ac:dyDescent="0.4">
      <c r="A88" s="233"/>
      <c r="B88" s="894" t="s">
        <v>153</v>
      </c>
      <c r="C88" s="894" t="s">
        <v>154</v>
      </c>
      <c r="D88" s="390" t="s">
        <v>12</v>
      </c>
      <c r="E88" s="286">
        <v>0.5</v>
      </c>
      <c r="F88" s="419">
        <v>1</v>
      </c>
      <c r="G88" s="420">
        <v>0</v>
      </c>
      <c r="H88" s="421">
        <v>0</v>
      </c>
      <c r="I88" s="422"/>
      <c r="J88" s="425"/>
      <c r="K88" s="422"/>
      <c r="L88" s="425"/>
      <c r="M88" s="420"/>
      <c r="N88" s="485"/>
      <c r="O88" s="481"/>
      <c r="P88" s="481"/>
      <c r="Q88" s="421"/>
      <c r="R88" s="421">
        <f t="shared" ref="R88" si="86">+N88+O88+P88+Q88</f>
        <v>0</v>
      </c>
      <c r="S88" s="421">
        <f t="shared" ref="S88" si="87">+R88+M88</f>
        <v>0</v>
      </c>
      <c r="T88" s="422"/>
      <c r="U88" s="425"/>
      <c r="V88" s="422"/>
      <c r="W88" s="425"/>
      <c r="X88" s="442"/>
      <c r="Y88" s="510">
        <v>0</v>
      </c>
      <c r="Z88" s="442">
        <v>0</v>
      </c>
      <c r="AA88" s="443">
        <v>0</v>
      </c>
      <c r="AB88" s="139" t="s">
        <v>1775</v>
      </c>
      <c r="AC88" s="586" t="s">
        <v>1798</v>
      </c>
      <c r="AD88" s="704" t="s">
        <v>1860</v>
      </c>
      <c r="AE88" s="106"/>
      <c r="AF88" s="106"/>
    </row>
    <row r="89" spans="1:32" ht="71.400000000000006" customHeight="1" thickBot="1" x14ac:dyDescent="0.4">
      <c r="A89" s="233"/>
      <c r="B89" s="894" t="s">
        <v>155</v>
      </c>
      <c r="C89" s="894" t="s">
        <v>156</v>
      </c>
      <c r="D89" s="390" t="s">
        <v>12</v>
      </c>
      <c r="E89" s="286">
        <v>0.25</v>
      </c>
      <c r="F89" s="419">
        <v>600</v>
      </c>
      <c r="G89" s="420">
        <v>150</v>
      </c>
      <c r="H89" s="421">
        <v>150</v>
      </c>
      <c r="I89" s="422">
        <f>+G89/F89</f>
        <v>0.25</v>
      </c>
      <c r="J89" s="425">
        <f t="shared" si="63"/>
        <v>0.25</v>
      </c>
      <c r="K89" s="422">
        <f>+(G89/F89)*E89</f>
        <v>6.25E-2</v>
      </c>
      <c r="L89" s="425">
        <f t="shared" si="34"/>
        <v>6.25E-2</v>
      </c>
      <c r="M89" s="420">
        <v>150</v>
      </c>
      <c r="N89" s="485">
        <v>150</v>
      </c>
      <c r="O89" s="481"/>
      <c r="P89" s="481"/>
      <c r="Q89" s="421"/>
      <c r="R89" s="421">
        <f t="shared" ref="R89:R90" si="88">+N89+O89+P89+Q89</f>
        <v>150</v>
      </c>
      <c r="S89" s="421">
        <f t="shared" ref="S89:S90" si="89">+R89+M89</f>
        <v>300</v>
      </c>
      <c r="T89" s="422">
        <f>+(M89/G89)</f>
        <v>1</v>
      </c>
      <c r="U89" s="425">
        <f t="shared" si="85"/>
        <v>1</v>
      </c>
      <c r="V89" s="422">
        <f>+T89*E89</f>
        <v>0.25</v>
      </c>
      <c r="W89" s="425">
        <f t="shared" si="47"/>
        <v>0.25</v>
      </c>
      <c r="X89" s="442">
        <f>+M89/F89</f>
        <v>0.25</v>
      </c>
      <c r="Y89" s="443">
        <f t="shared" si="79"/>
        <v>0.5</v>
      </c>
      <c r="Z89" s="442">
        <f>+X89*E89</f>
        <v>6.25E-2</v>
      </c>
      <c r="AA89" s="443">
        <f>+Y89*E89</f>
        <v>0.125</v>
      </c>
      <c r="AB89" s="139" t="s">
        <v>1775</v>
      </c>
      <c r="AC89" s="586" t="s">
        <v>1798</v>
      </c>
      <c r="AD89" s="704" t="s">
        <v>1860</v>
      </c>
      <c r="AE89" s="106"/>
      <c r="AF89" s="106"/>
    </row>
    <row r="90" spans="1:32" ht="96.6" customHeight="1" thickBot="1" x14ac:dyDescent="0.4">
      <c r="A90" s="233"/>
      <c r="B90" s="893" t="s">
        <v>157</v>
      </c>
      <c r="C90" s="893" t="s">
        <v>158</v>
      </c>
      <c r="D90" s="390" t="s">
        <v>12</v>
      </c>
      <c r="E90" s="286">
        <v>0.25</v>
      </c>
      <c r="F90" s="419">
        <v>4</v>
      </c>
      <c r="G90" s="420">
        <v>1</v>
      </c>
      <c r="H90" s="421">
        <v>1</v>
      </c>
      <c r="I90" s="422">
        <f>+G90/F90</f>
        <v>0.25</v>
      </c>
      <c r="J90" s="425">
        <f t="shared" si="63"/>
        <v>0.25</v>
      </c>
      <c r="K90" s="422">
        <f>+(G90/F90)*E90</f>
        <v>6.25E-2</v>
      </c>
      <c r="L90" s="425">
        <f t="shared" si="34"/>
        <v>6.25E-2</v>
      </c>
      <c r="M90" s="420">
        <v>1</v>
      </c>
      <c r="N90" s="485">
        <v>0</v>
      </c>
      <c r="O90" s="481">
        <v>0</v>
      </c>
      <c r="P90" s="481"/>
      <c r="Q90" s="421"/>
      <c r="R90" s="421">
        <f t="shared" si="88"/>
        <v>0</v>
      </c>
      <c r="S90" s="421">
        <f t="shared" si="89"/>
        <v>1</v>
      </c>
      <c r="T90" s="422">
        <f>+(M90/G90)</f>
        <v>1</v>
      </c>
      <c r="U90" s="425">
        <f t="shared" si="85"/>
        <v>0</v>
      </c>
      <c r="V90" s="422">
        <f>+T90*E90</f>
        <v>0.25</v>
      </c>
      <c r="W90" s="425">
        <f>+U90*E90</f>
        <v>0</v>
      </c>
      <c r="X90" s="442">
        <f>+M90/F90</f>
        <v>0.25</v>
      </c>
      <c r="Y90" s="443">
        <f t="shared" si="79"/>
        <v>0.25</v>
      </c>
      <c r="Z90" s="442">
        <f>+X90*E90</f>
        <v>6.25E-2</v>
      </c>
      <c r="AA90" s="443">
        <f>+Y90*E90</f>
        <v>6.25E-2</v>
      </c>
      <c r="AB90" s="139" t="s">
        <v>1775</v>
      </c>
      <c r="AC90" s="586" t="s">
        <v>1798</v>
      </c>
      <c r="AD90" s="704" t="s">
        <v>1860</v>
      </c>
      <c r="AE90" s="106"/>
      <c r="AF90" s="106"/>
    </row>
    <row r="91" spans="1:32" ht="93" customHeight="1" thickBot="1" x14ac:dyDescent="0.45">
      <c r="A91" s="233"/>
      <c r="B91" s="947" t="s">
        <v>159</v>
      </c>
      <c r="C91" s="945"/>
      <c r="D91" s="387"/>
      <c r="E91" s="427">
        <v>0.3</v>
      </c>
      <c r="F91" s="427">
        <f>+E91*V91</f>
        <v>0.22781794835632452</v>
      </c>
      <c r="G91" s="418"/>
      <c r="H91" s="427">
        <f>E91*W91</f>
        <v>0.15675810278571931</v>
      </c>
      <c r="I91" s="412">
        <f>+(I92+I99+I102+I105+I125)/5</f>
        <v>0.23229102167182664</v>
      </c>
      <c r="J91" s="412">
        <f>+(J92+J99+J102+J105+J125)/5</f>
        <v>0.33879772961816307</v>
      </c>
      <c r="K91" s="413">
        <f>+(K92+K99+K102+K105+K125)/5</f>
        <v>0.15700735294117646</v>
      </c>
      <c r="L91" s="413">
        <f>+(L92+L99+L102+L105+L125)/5</f>
        <v>0.37183088235294115</v>
      </c>
      <c r="M91" s="418"/>
      <c r="N91" s="424"/>
      <c r="O91" s="424"/>
      <c r="P91" s="424"/>
      <c r="Q91" s="424"/>
      <c r="R91" s="424"/>
      <c r="S91" s="424"/>
      <c r="T91" s="412">
        <f>+(T92+T99+T102+T105+T125)/5</f>
        <v>0.97477263894508703</v>
      </c>
      <c r="U91" s="412">
        <f>+(U92+U99+U102+U105+U125)/5</f>
        <v>0.692089697454354</v>
      </c>
      <c r="V91" s="413">
        <f>+V92+V99+V102+V105+V125</f>
        <v>0.75939316118774847</v>
      </c>
      <c r="W91" s="413">
        <f>+W92+W99+W102+W105+W125</f>
        <v>0.52252700928573104</v>
      </c>
      <c r="X91" s="502">
        <f>+(X92+X99+X102+X105+X125)/5</f>
        <v>0.20515575037857808</v>
      </c>
      <c r="Y91" s="498">
        <f>+(Y92+Y99+Y102+Y105+Y125)/5</f>
        <v>0.35188322978172631</v>
      </c>
      <c r="Z91" s="497">
        <f>+Z92+Z99+Z102+Z105+Z125</f>
        <v>0.19010083782604881</v>
      </c>
      <c r="AA91" s="615">
        <f>+(AA92*E92)+(AA99*E99)+(AA102*E102)+(AA105*E105)+(AA125*E125)</f>
        <v>0.33948558524552075</v>
      </c>
      <c r="AB91" s="124"/>
      <c r="AC91" s="388"/>
      <c r="AD91" s="388"/>
      <c r="AE91" s="106"/>
      <c r="AF91" s="106"/>
    </row>
    <row r="92" spans="1:32" ht="57" customHeight="1" thickBot="1" x14ac:dyDescent="0.45">
      <c r="A92" s="233"/>
      <c r="B92" s="946" t="s">
        <v>1535</v>
      </c>
      <c r="C92" s="945"/>
      <c r="D92" s="389"/>
      <c r="E92" s="415">
        <v>0.35</v>
      </c>
      <c r="F92" s="418"/>
      <c r="G92" s="418"/>
      <c r="H92" s="424"/>
      <c r="I92" s="417">
        <f>+AVERAGE(I93:I98)</f>
        <v>0.25</v>
      </c>
      <c r="J92" s="417">
        <f>+AVERAGE(J93:J98)</f>
        <v>0.29166666666666669</v>
      </c>
      <c r="K92" s="417">
        <f>+K93+K94+K95+K96+K97+K98</f>
        <v>0.16250000000000003</v>
      </c>
      <c r="L92" s="417">
        <f>+L93+L94+L95+L96+L97+L98</f>
        <v>0.33750000000000002</v>
      </c>
      <c r="M92" s="418"/>
      <c r="N92" s="424"/>
      <c r="O92" s="424"/>
      <c r="P92" s="424"/>
      <c r="Q92" s="424"/>
      <c r="R92" s="424"/>
      <c r="S92" s="424"/>
      <c r="T92" s="483">
        <f>+AVERAGE(T93:T98)</f>
        <v>0.96129032258064517</v>
      </c>
      <c r="U92" s="483">
        <f>+AVERAGE(U93:U98)</f>
        <v>0.67991397849462365</v>
      </c>
      <c r="V92" s="483">
        <f>+(V93+V94+V95+V96+V97)*E92</f>
        <v>0.22411290322580646</v>
      </c>
      <c r="W92" s="483">
        <f>+(W93+W94+W95+W96+W97)*E92</f>
        <v>0.17453596774193547</v>
      </c>
      <c r="X92" s="438">
        <f>+AVERAGE(X93:X98)</f>
        <v>0.21293498207199635</v>
      </c>
      <c r="Y92" s="499">
        <f>+AVERAGE(Y93:Y98)</f>
        <v>0.38569125447343006</v>
      </c>
      <c r="Z92" s="438">
        <f>+(Z93+Z94+Z95+Z96+Z97+Z98)*E92</f>
        <v>5.944380429531565E-2</v>
      </c>
      <c r="AA92" s="499">
        <f>+(AA93+AA94+AA95+AA96+AA97+AA98)</f>
        <v>0.2953413225641891</v>
      </c>
      <c r="AB92" s="611"/>
      <c r="AC92" s="388"/>
      <c r="AD92" s="388"/>
      <c r="AE92" s="106"/>
      <c r="AF92" s="106"/>
    </row>
    <row r="93" spans="1:32" ht="151.94999999999999" customHeight="1" thickBot="1" x14ac:dyDescent="0.4">
      <c r="A93" s="233"/>
      <c r="B93" s="894" t="s">
        <v>160</v>
      </c>
      <c r="C93" s="894" t="s">
        <v>161</v>
      </c>
      <c r="D93" s="390" t="s">
        <v>162</v>
      </c>
      <c r="E93" s="286">
        <v>0.4</v>
      </c>
      <c r="F93" s="419">
        <v>2718220</v>
      </c>
      <c r="G93" s="420">
        <v>679555</v>
      </c>
      <c r="H93" s="420">
        <v>679555</v>
      </c>
      <c r="I93" s="422">
        <f>+G93/F93</f>
        <v>0.25</v>
      </c>
      <c r="J93" s="425">
        <f t="shared" ref="J93:J101" si="90">+H93/F93</f>
        <v>0.25</v>
      </c>
      <c r="K93" s="422">
        <f>+(G93/F93)*E93</f>
        <v>0.1</v>
      </c>
      <c r="L93" s="425">
        <f t="shared" ref="L93:L124" si="91">+(H93/F93)*E93</f>
        <v>0.1</v>
      </c>
      <c r="M93" s="420">
        <v>699118</v>
      </c>
      <c r="N93" s="578"/>
      <c r="O93" s="481">
        <v>702671</v>
      </c>
      <c r="P93" s="481">
        <v>701127</v>
      </c>
      <c r="Q93" s="421"/>
      <c r="R93" s="421">
        <f>+N93+O93+P93+Q93</f>
        <v>1403798</v>
      </c>
      <c r="S93" s="421">
        <f>+R93+M93</f>
        <v>2102916</v>
      </c>
      <c r="T93" s="474">
        <v>1</v>
      </c>
      <c r="U93" s="792">
        <v>0.75</v>
      </c>
      <c r="V93" s="474">
        <f>+T93*E93</f>
        <v>0.4</v>
      </c>
      <c r="W93" s="459">
        <f>+U93*E93</f>
        <v>0.30000000000000004</v>
      </c>
      <c r="X93" s="503">
        <f>+M93/F93</f>
        <v>0.25719698920617168</v>
      </c>
      <c r="Y93" s="504">
        <f>+X93+6.25%+6.25%+6.25%</f>
        <v>0.44469698920617168</v>
      </c>
      <c r="Z93" s="442">
        <f>+X93*E93</f>
        <v>0.10287879568246867</v>
      </c>
      <c r="AA93" s="443">
        <f>+Y93*E93</f>
        <v>0.17787879568246867</v>
      </c>
      <c r="AB93" s="612" t="s">
        <v>1775</v>
      </c>
      <c r="AC93" s="586" t="s">
        <v>1796</v>
      </c>
      <c r="AD93" s="704" t="s">
        <v>1860</v>
      </c>
      <c r="AE93" s="106"/>
      <c r="AF93" s="106"/>
    </row>
    <row r="94" spans="1:32" ht="93" customHeight="1" thickBot="1" x14ac:dyDescent="0.4">
      <c r="A94" s="233"/>
      <c r="B94" s="894" t="s">
        <v>163</v>
      </c>
      <c r="C94" s="894" t="s">
        <v>164</v>
      </c>
      <c r="D94" s="390" t="s">
        <v>162</v>
      </c>
      <c r="E94" s="286">
        <v>0.1</v>
      </c>
      <c r="F94" s="419">
        <v>20000</v>
      </c>
      <c r="G94" s="420">
        <v>5000</v>
      </c>
      <c r="H94" s="420">
        <v>5000</v>
      </c>
      <c r="I94" s="422">
        <f>+G94/F94</f>
        <v>0.25</v>
      </c>
      <c r="J94" s="425">
        <f t="shared" si="90"/>
        <v>0.25</v>
      </c>
      <c r="K94" s="422">
        <f>+(G94/F94)*E94</f>
        <v>2.5000000000000001E-2</v>
      </c>
      <c r="L94" s="425">
        <f t="shared" si="91"/>
        <v>2.5000000000000001E-2</v>
      </c>
      <c r="M94" s="420">
        <v>6376</v>
      </c>
      <c r="N94" s="578">
        <v>1509</v>
      </c>
      <c r="O94" s="481">
        <v>1044</v>
      </c>
      <c r="P94" s="481">
        <v>667</v>
      </c>
      <c r="Q94" s="421"/>
      <c r="R94" s="421">
        <f t="shared" ref="R94:R98" si="92">+N94+O94+P94+Q94</f>
        <v>3220</v>
      </c>
      <c r="S94" s="421">
        <f>+R94+M94</f>
        <v>9596</v>
      </c>
      <c r="T94" s="474">
        <v>1</v>
      </c>
      <c r="U94" s="792">
        <f>+R94/H94</f>
        <v>0.64400000000000002</v>
      </c>
      <c r="V94" s="474">
        <f>+T94*E94</f>
        <v>0.1</v>
      </c>
      <c r="W94" s="459">
        <f t="shared" ref="W94:W97" si="93">+U94*E94</f>
        <v>6.4399999999999999E-2</v>
      </c>
      <c r="X94" s="503">
        <f>+M94/F94</f>
        <v>0.31879999999999997</v>
      </c>
      <c r="Y94" s="504">
        <f t="shared" ref="Y94:Y98" si="94">+S94/F94</f>
        <v>0.4798</v>
      </c>
      <c r="Z94" s="442">
        <f>+X94*E94</f>
        <v>3.1879999999999999E-2</v>
      </c>
      <c r="AA94" s="443">
        <f>+Y94*E94</f>
        <v>4.7980000000000002E-2</v>
      </c>
      <c r="AB94" s="612" t="s">
        <v>1775</v>
      </c>
      <c r="AC94" s="586" t="s">
        <v>1796</v>
      </c>
      <c r="AD94" s="704" t="s">
        <v>1860</v>
      </c>
      <c r="AE94" s="106"/>
      <c r="AF94" s="106"/>
    </row>
    <row r="95" spans="1:32" ht="73.2" customHeight="1" thickBot="1" x14ac:dyDescent="0.4">
      <c r="A95" s="233"/>
      <c r="B95" s="893" t="s">
        <v>165</v>
      </c>
      <c r="C95" s="893" t="s">
        <v>166</v>
      </c>
      <c r="D95" s="390" t="s">
        <v>162</v>
      </c>
      <c r="E95" s="286">
        <v>0.05</v>
      </c>
      <c r="F95" s="419">
        <v>568</v>
      </c>
      <c r="G95" s="420">
        <v>142</v>
      </c>
      <c r="H95" s="420">
        <v>142</v>
      </c>
      <c r="I95" s="422">
        <f>+G95/F95</f>
        <v>0.25</v>
      </c>
      <c r="J95" s="425">
        <f t="shared" si="90"/>
        <v>0.25</v>
      </c>
      <c r="K95" s="422">
        <f>+(G95/F95)*E95</f>
        <v>1.2500000000000001E-2</v>
      </c>
      <c r="L95" s="425">
        <f t="shared" si="91"/>
        <v>1.2500000000000001E-2</v>
      </c>
      <c r="M95" s="420">
        <v>142</v>
      </c>
      <c r="N95" s="578"/>
      <c r="O95" s="481">
        <v>142</v>
      </c>
      <c r="P95" s="481">
        <v>0</v>
      </c>
      <c r="Q95" s="421"/>
      <c r="R95" s="421">
        <f t="shared" si="92"/>
        <v>142</v>
      </c>
      <c r="S95" s="421">
        <f t="shared" ref="S95:S98" si="95">+R95+M95</f>
        <v>284</v>
      </c>
      <c r="T95" s="474">
        <f>+(M95/G95)</f>
        <v>1</v>
      </c>
      <c r="U95" s="792">
        <v>0.75</v>
      </c>
      <c r="V95" s="474">
        <f>+T95*E95</f>
        <v>0.05</v>
      </c>
      <c r="W95" s="459">
        <f t="shared" si="93"/>
        <v>3.7500000000000006E-2</v>
      </c>
      <c r="X95" s="503">
        <f>+M95/F95</f>
        <v>0.25</v>
      </c>
      <c r="Y95" s="504">
        <f>+X95+6.25%+6.25%+6.25%</f>
        <v>0.4375</v>
      </c>
      <c r="Z95" s="442">
        <f>+X95*E95</f>
        <v>1.2500000000000001E-2</v>
      </c>
      <c r="AA95" s="443">
        <f>+Y95*E95</f>
        <v>2.1875000000000002E-2</v>
      </c>
      <c r="AB95" s="612" t="s">
        <v>1775</v>
      </c>
      <c r="AC95" s="586" t="s">
        <v>1796</v>
      </c>
      <c r="AD95" s="704" t="s">
        <v>1860</v>
      </c>
      <c r="AE95" s="106"/>
      <c r="AF95" s="106"/>
    </row>
    <row r="96" spans="1:32" ht="70.2" customHeight="1" thickBot="1" x14ac:dyDescent="0.4">
      <c r="A96" s="233"/>
      <c r="B96" s="894" t="s">
        <v>167</v>
      </c>
      <c r="C96" s="894" t="s">
        <v>168</v>
      </c>
      <c r="D96" s="390" t="s">
        <v>162</v>
      </c>
      <c r="E96" s="286">
        <v>0.05</v>
      </c>
      <c r="F96" s="419">
        <v>248</v>
      </c>
      <c r="G96" s="420">
        <v>62</v>
      </c>
      <c r="H96" s="420">
        <v>62</v>
      </c>
      <c r="I96" s="422">
        <f>+G96/F96</f>
        <v>0.25</v>
      </c>
      <c r="J96" s="425">
        <f t="shared" si="90"/>
        <v>0.25</v>
      </c>
      <c r="K96" s="422">
        <f>+(G96/F96)*E96</f>
        <v>1.2500000000000001E-2</v>
      </c>
      <c r="L96" s="425">
        <f t="shared" si="91"/>
        <v>1.2500000000000001E-2</v>
      </c>
      <c r="M96" s="420">
        <v>50</v>
      </c>
      <c r="N96" s="578">
        <v>31</v>
      </c>
      <c r="O96" s="481">
        <v>13</v>
      </c>
      <c r="P96" s="481">
        <v>14</v>
      </c>
      <c r="Q96" s="421"/>
      <c r="R96" s="421">
        <f t="shared" si="92"/>
        <v>58</v>
      </c>
      <c r="S96" s="421">
        <f t="shared" si="95"/>
        <v>108</v>
      </c>
      <c r="T96" s="474">
        <f>+(M96/G96)</f>
        <v>0.80645161290322576</v>
      </c>
      <c r="U96" s="459">
        <f t="shared" ref="U96:U98" si="96">+R96/H96</f>
        <v>0.93548387096774188</v>
      </c>
      <c r="V96" s="474">
        <f>+T96*E96</f>
        <v>4.0322580645161289E-2</v>
      </c>
      <c r="W96" s="459">
        <f t="shared" si="93"/>
        <v>4.6774193548387098E-2</v>
      </c>
      <c r="X96" s="503">
        <f>+M96/F96</f>
        <v>0.20161290322580644</v>
      </c>
      <c r="Y96" s="504">
        <f t="shared" si="94"/>
        <v>0.43548387096774194</v>
      </c>
      <c r="Z96" s="442">
        <f>+X96*E96</f>
        <v>1.0080645161290322E-2</v>
      </c>
      <c r="AA96" s="443">
        <f>+Y96*E96</f>
        <v>2.1774193548387097E-2</v>
      </c>
      <c r="AB96" s="612" t="s">
        <v>1775</v>
      </c>
      <c r="AC96" s="701" t="s">
        <v>1797</v>
      </c>
      <c r="AD96" s="704" t="s">
        <v>1860</v>
      </c>
      <c r="AE96" s="106"/>
      <c r="AF96" s="106"/>
    </row>
    <row r="97" spans="1:32" ht="177" customHeight="1" thickBot="1" x14ac:dyDescent="0.4">
      <c r="A97" s="233"/>
      <c r="B97" s="894" t="s">
        <v>169</v>
      </c>
      <c r="C97" s="894" t="s">
        <v>170</v>
      </c>
      <c r="D97" s="390" t="s">
        <v>162</v>
      </c>
      <c r="E97" s="286">
        <v>0.05</v>
      </c>
      <c r="F97" s="419">
        <v>60</v>
      </c>
      <c r="G97" s="420">
        <v>15</v>
      </c>
      <c r="H97" s="420">
        <v>15</v>
      </c>
      <c r="I97" s="422">
        <f>+G97/F97</f>
        <v>0.25</v>
      </c>
      <c r="J97" s="425">
        <f t="shared" si="90"/>
        <v>0.25</v>
      </c>
      <c r="K97" s="422">
        <f>+(G97/F97)*E97</f>
        <v>1.2500000000000001E-2</v>
      </c>
      <c r="L97" s="425">
        <f t="shared" si="91"/>
        <v>1.2500000000000001E-2</v>
      </c>
      <c r="M97" s="420">
        <v>15</v>
      </c>
      <c r="N97" s="578">
        <v>0</v>
      </c>
      <c r="O97" s="481">
        <v>8</v>
      </c>
      <c r="P97" s="481">
        <v>8</v>
      </c>
      <c r="Q97" s="421"/>
      <c r="R97" s="421">
        <f t="shared" si="92"/>
        <v>16</v>
      </c>
      <c r="S97" s="421">
        <f t="shared" si="95"/>
        <v>31</v>
      </c>
      <c r="T97" s="474">
        <f>+(M97/G97)</f>
        <v>1</v>
      </c>
      <c r="U97" s="459">
        <v>1</v>
      </c>
      <c r="V97" s="474">
        <f>+T97*E97</f>
        <v>0.05</v>
      </c>
      <c r="W97" s="459">
        <f t="shared" si="93"/>
        <v>0.05</v>
      </c>
      <c r="X97" s="503">
        <f>+M97/F97</f>
        <v>0.25</v>
      </c>
      <c r="Y97" s="504">
        <f t="shared" si="94"/>
        <v>0.51666666666666672</v>
      </c>
      <c r="Z97" s="442">
        <f>+X97*E97</f>
        <v>1.2500000000000001E-2</v>
      </c>
      <c r="AA97" s="443">
        <f>+Y97*E97</f>
        <v>2.5833333333333337E-2</v>
      </c>
      <c r="AB97" s="612" t="s">
        <v>1775</v>
      </c>
      <c r="AC97" s="704" t="s">
        <v>1797</v>
      </c>
      <c r="AD97" s="704" t="s">
        <v>1860</v>
      </c>
      <c r="AE97" s="106"/>
      <c r="AF97" s="106"/>
    </row>
    <row r="98" spans="1:32" ht="90.6" customHeight="1" thickBot="1" x14ac:dyDescent="0.4">
      <c r="A98" s="233"/>
      <c r="B98" s="894" t="s">
        <v>171</v>
      </c>
      <c r="C98" s="894" t="s">
        <v>172</v>
      </c>
      <c r="D98" s="390" t="s">
        <v>173</v>
      </c>
      <c r="E98" s="286">
        <v>0.35</v>
      </c>
      <c r="F98" s="419">
        <v>2</v>
      </c>
      <c r="G98" s="420">
        <v>0</v>
      </c>
      <c r="H98" s="420">
        <v>1</v>
      </c>
      <c r="I98" s="422"/>
      <c r="J98" s="425">
        <f t="shared" si="90"/>
        <v>0.5</v>
      </c>
      <c r="K98" s="422"/>
      <c r="L98" s="425">
        <f t="shared" si="91"/>
        <v>0.17499999999999999</v>
      </c>
      <c r="M98" s="420"/>
      <c r="N98" s="578">
        <v>0</v>
      </c>
      <c r="O98" s="481"/>
      <c r="P98" s="481">
        <v>0</v>
      </c>
      <c r="Q98" s="421"/>
      <c r="R98" s="421">
        <f t="shared" si="92"/>
        <v>0</v>
      </c>
      <c r="S98" s="421">
        <f t="shared" si="95"/>
        <v>0</v>
      </c>
      <c r="T98" s="474"/>
      <c r="U98" s="459">
        <f t="shared" si="96"/>
        <v>0</v>
      </c>
      <c r="V98" s="474"/>
      <c r="W98" s="459">
        <f>+U98*E98</f>
        <v>0</v>
      </c>
      <c r="X98" s="790">
        <v>0</v>
      </c>
      <c r="Y98" s="506">
        <f t="shared" si="94"/>
        <v>0</v>
      </c>
      <c r="Z98" s="442">
        <v>0</v>
      </c>
      <c r="AA98" s="443">
        <v>0</v>
      </c>
      <c r="AB98" s="612" t="s">
        <v>1775</v>
      </c>
      <c r="AC98" s="702" t="s">
        <v>1797</v>
      </c>
      <c r="AD98" s="704" t="s">
        <v>1860</v>
      </c>
      <c r="AE98" s="106"/>
      <c r="AF98" s="106"/>
    </row>
    <row r="99" spans="1:32" ht="42.75" customHeight="1" thickBot="1" x14ac:dyDescent="0.45">
      <c r="A99" s="233"/>
      <c r="B99" s="946" t="s">
        <v>1536</v>
      </c>
      <c r="C99" s="945"/>
      <c r="D99" s="389"/>
      <c r="E99" s="415">
        <v>0.1</v>
      </c>
      <c r="F99" s="418"/>
      <c r="G99" s="466"/>
      <c r="H99" s="466"/>
      <c r="I99" s="417">
        <f>+AVERAGE(I100:I101)</f>
        <v>0.17499999999999999</v>
      </c>
      <c r="J99" s="417">
        <f>+AVERAGE(J100:J101)</f>
        <v>0.27500000000000002</v>
      </c>
      <c r="K99" s="417">
        <f>+K100+K101</f>
        <v>0.19</v>
      </c>
      <c r="L99" s="417">
        <f>+L100+L101</f>
        <v>0.27</v>
      </c>
      <c r="M99" s="418"/>
      <c r="N99" s="424"/>
      <c r="O99" s="424"/>
      <c r="P99" s="424"/>
      <c r="Q99" s="424"/>
      <c r="R99" s="424"/>
      <c r="S99" s="424"/>
      <c r="T99" s="483">
        <f>+AVERAGE(T100:T101)</f>
        <v>1</v>
      </c>
      <c r="U99" s="483">
        <f>+AVERAGE(U100:U101)</f>
        <v>0.68403333333333327</v>
      </c>
      <c r="V99" s="483">
        <f>+(V100+V101)*E99</f>
        <v>0.1</v>
      </c>
      <c r="W99" s="507">
        <f>+(W100+W101)*E99</f>
        <v>6.8077333333333323E-2</v>
      </c>
      <c r="X99" s="508">
        <f>+AVERAGE(X100:X101)</f>
        <v>0.19831666666666667</v>
      </c>
      <c r="Y99" s="508">
        <f>+AVERAGE(Y100:Y101)</f>
        <v>0.38683333333333336</v>
      </c>
      <c r="Z99" s="438">
        <f>+(Z100+Z101)*E99</f>
        <v>2.1048000000000001E-2</v>
      </c>
      <c r="AA99" s="499">
        <f>+(AA100+AA101)</f>
        <v>0.39468000000000003</v>
      </c>
      <c r="AB99" s="132"/>
      <c r="AC99" s="388"/>
      <c r="AD99" s="786"/>
      <c r="AE99" s="106"/>
      <c r="AF99" s="106"/>
    </row>
    <row r="100" spans="1:32" ht="123" customHeight="1" thickBot="1" x14ac:dyDescent="0.4">
      <c r="A100" s="233"/>
      <c r="B100" s="894" t="s">
        <v>174</v>
      </c>
      <c r="C100" s="894" t="s">
        <v>175</v>
      </c>
      <c r="D100" s="390" t="s">
        <v>162</v>
      </c>
      <c r="E100" s="286">
        <v>0.4</v>
      </c>
      <c r="F100" s="579">
        <v>10000</v>
      </c>
      <c r="G100" s="467">
        <v>1000</v>
      </c>
      <c r="H100" s="581">
        <v>3000</v>
      </c>
      <c r="I100" s="422">
        <f>+G100/F100</f>
        <v>0.1</v>
      </c>
      <c r="J100" s="425">
        <f t="shared" si="90"/>
        <v>0.3</v>
      </c>
      <c r="K100" s="422">
        <f>+(G100/F100)*E100</f>
        <v>4.0000000000000008E-2</v>
      </c>
      <c r="L100" s="425">
        <f t="shared" si="91"/>
        <v>0.12</v>
      </c>
      <c r="M100" s="420">
        <v>1375</v>
      </c>
      <c r="N100" s="578">
        <v>0</v>
      </c>
      <c r="O100" s="481">
        <v>0</v>
      </c>
      <c r="P100" s="481">
        <v>2101</v>
      </c>
      <c r="Q100" s="421"/>
      <c r="R100" s="421">
        <f t="shared" ref="R100:R101" si="97">+N100+O100+P100+Q100</f>
        <v>2101</v>
      </c>
      <c r="S100" s="421">
        <f t="shared" ref="S100:S101" si="98">+R100+M100</f>
        <v>3476</v>
      </c>
      <c r="T100" s="474">
        <v>1</v>
      </c>
      <c r="U100" s="459">
        <f>+R100/H100</f>
        <v>0.70033333333333336</v>
      </c>
      <c r="V100" s="474">
        <f>+T100*E100</f>
        <v>0.4</v>
      </c>
      <c r="W100" s="459">
        <f>+U100*E100</f>
        <v>0.28013333333333335</v>
      </c>
      <c r="X100" s="838">
        <f>+M100/F100</f>
        <v>0.13750000000000001</v>
      </c>
      <c r="Y100" s="512">
        <f>+S100/F100</f>
        <v>0.34760000000000002</v>
      </c>
      <c r="Z100" s="503">
        <f>+X100*E100</f>
        <v>5.5000000000000007E-2</v>
      </c>
      <c r="AA100" s="504">
        <f>+Y100*E100</f>
        <v>0.13904000000000002</v>
      </c>
      <c r="AB100" s="139" t="s">
        <v>1775</v>
      </c>
      <c r="AC100" s="601" t="s">
        <v>1797</v>
      </c>
      <c r="AD100" s="704" t="s">
        <v>1860</v>
      </c>
      <c r="AE100" s="106"/>
      <c r="AF100" s="106"/>
    </row>
    <row r="101" spans="1:32" ht="178.2" customHeight="1" thickBot="1" x14ac:dyDescent="0.4">
      <c r="A101" s="233"/>
      <c r="B101" s="894" t="s">
        <v>176</v>
      </c>
      <c r="C101" s="894" t="s">
        <v>177</v>
      </c>
      <c r="D101" s="390" t="s">
        <v>162</v>
      </c>
      <c r="E101" s="286">
        <v>0.6</v>
      </c>
      <c r="F101" s="419">
        <v>30000</v>
      </c>
      <c r="G101" s="580">
        <v>7500</v>
      </c>
      <c r="H101" s="582">
        <v>7500</v>
      </c>
      <c r="I101" s="422">
        <f>+G101/F101</f>
        <v>0.25</v>
      </c>
      <c r="J101" s="425">
        <f t="shared" si="90"/>
        <v>0.25</v>
      </c>
      <c r="K101" s="422">
        <f>+(G101/F101)*E101</f>
        <v>0.15</v>
      </c>
      <c r="L101" s="425">
        <f t="shared" si="91"/>
        <v>0.15</v>
      </c>
      <c r="M101" s="420">
        <v>7774</v>
      </c>
      <c r="N101" s="578">
        <v>934</v>
      </c>
      <c r="O101" s="481">
        <v>823</v>
      </c>
      <c r="P101" s="481">
        <v>3251</v>
      </c>
      <c r="Q101" s="421"/>
      <c r="R101" s="421">
        <f t="shared" si="97"/>
        <v>5008</v>
      </c>
      <c r="S101" s="421">
        <f t="shared" si="98"/>
        <v>12782</v>
      </c>
      <c r="T101" s="474">
        <v>1</v>
      </c>
      <c r="U101" s="459">
        <f>+R101/H101</f>
        <v>0.66773333333333329</v>
      </c>
      <c r="V101" s="474">
        <f>+T101*E101</f>
        <v>0.6</v>
      </c>
      <c r="W101" s="459">
        <f>+U101*E101</f>
        <v>0.40063999999999994</v>
      </c>
      <c r="X101" s="503">
        <f>+M101/F101</f>
        <v>0.25913333333333333</v>
      </c>
      <c r="Y101" s="506">
        <f>+S101/F101</f>
        <v>0.42606666666666665</v>
      </c>
      <c r="Z101" s="503">
        <f>+X101*E101</f>
        <v>0.15547999999999998</v>
      </c>
      <c r="AA101" s="504">
        <f>+Y101*E101</f>
        <v>0.25563999999999998</v>
      </c>
      <c r="AB101" s="139" t="s">
        <v>1775</v>
      </c>
      <c r="AC101" s="601" t="s">
        <v>1797</v>
      </c>
      <c r="AD101" s="704" t="s">
        <v>1860</v>
      </c>
      <c r="AE101" s="106"/>
      <c r="AF101" s="106"/>
    </row>
    <row r="102" spans="1:32" ht="110.4" customHeight="1" thickBot="1" x14ac:dyDescent="0.45">
      <c r="A102" s="233"/>
      <c r="B102" s="946" t="s">
        <v>1537</v>
      </c>
      <c r="C102" s="945"/>
      <c r="D102" s="390"/>
      <c r="E102" s="415">
        <v>0.1</v>
      </c>
      <c r="F102" s="418"/>
      <c r="G102" s="418"/>
      <c r="H102" s="464"/>
      <c r="I102" s="417">
        <f>+AVERAGE(I103:I104)</f>
        <v>0.25</v>
      </c>
      <c r="J102" s="417">
        <f>+AVERAGE(J103:J104)</f>
        <v>0.625</v>
      </c>
      <c r="K102" s="417">
        <f>+K103+K104</f>
        <v>0.05</v>
      </c>
      <c r="L102" s="417">
        <f>+L103+L104</f>
        <v>0.85000000000000009</v>
      </c>
      <c r="M102" s="418"/>
      <c r="N102" s="424"/>
      <c r="O102" s="424"/>
      <c r="P102" s="424"/>
      <c r="Q102" s="424"/>
      <c r="R102" s="424"/>
      <c r="S102" s="424"/>
      <c r="T102" s="483">
        <f>+AVERAGE(T103:T104)</f>
        <v>0.93103448275862066</v>
      </c>
      <c r="U102" s="483">
        <f>+AVERAGE(U103:U104)</f>
        <v>0.5</v>
      </c>
      <c r="V102" s="483">
        <f>+(V103+V104)*E102</f>
        <v>1.8620689655172416E-2</v>
      </c>
      <c r="W102" s="483">
        <f>+(W103+W104)*E102</f>
        <v>2.0000000000000004E-2</v>
      </c>
      <c r="X102" s="438">
        <f>+AVERAGE(X103:X104)</f>
        <v>0.11637931034482758</v>
      </c>
      <c r="Y102" s="508">
        <f>+AVERAGE(Y103:Y104)</f>
        <v>0.2413793103448276</v>
      </c>
      <c r="Z102" s="438">
        <f>+(Z103+Z104)*E102</f>
        <v>4.6551724137931039E-3</v>
      </c>
      <c r="AA102" s="499">
        <f>+(AA103+AA104)</f>
        <v>9.6551724137931047E-2</v>
      </c>
      <c r="AB102" s="132"/>
      <c r="AC102" s="388"/>
      <c r="AD102" s="386"/>
      <c r="AE102" s="106"/>
      <c r="AF102" s="106"/>
    </row>
    <row r="103" spans="1:32" ht="167.4" customHeight="1" thickBot="1" x14ac:dyDescent="0.4">
      <c r="A103" s="233"/>
      <c r="B103" s="894" t="s">
        <v>178</v>
      </c>
      <c r="C103" s="894" t="s">
        <v>179</v>
      </c>
      <c r="D103" s="390" t="s">
        <v>162</v>
      </c>
      <c r="E103" s="286">
        <v>0.2</v>
      </c>
      <c r="F103" s="419">
        <v>116</v>
      </c>
      <c r="G103" s="420">
        <v>29</v>
      </c>
      <c r="H103" s="420">
        <v>29</v>
      </c>
      <c r="I103" s="422">
        <f>+G103/F103</f>
        <v>0.25</v>
      </c>
      <c r="J103" s="422">
        <f>+H103/F103</f>
        <v>0.25</v>
      </c>
      <c r="K103" s="468">
        <f>+(G103/F103)*E103</f>
        <v>0.05</v>
      </c>
      <c r="L103" s="469">
        <f>+(H103/F103)*E103</f>
        <v>0.05</v>
      </c>
      <c r="M103" s="420">
        <v>27</v>
      </c>
      <c r="N103" s="485">
        <v>10</v>
      </c>
      <c r="O103" s="481">
        <v>17</v>
      </c>
      <c r="P103" s="481">
        <v>2</v>
      </c>
      <c r="Q103" s="421"/>
      <c r="R103" s="421">
        <f t="shared" ref="R103" si="99">+N103+O103+P103+Q103</f>
        <v>29</v>
      </c>
      <c r="S103" s="421">
        <f t="shared" ref="S103" si="100">+R103+M103</f>
        <v>56</v>
      </c>
      <c r="T103" s="474">
        <f>+(M103/G103)</f>
        <v>0.93103448275862066</v>
      </c>
      <c r="U103" s="459">
        <f>+R103/H103</f>
        <v>1</v>
      </c>
      <c r="V103" s="474">
        <f>+T103*E103</f>
        <v>0.18620689655172415</v>
      </c>
      <c r="W103" s="459">
        <f t="shared" ref="W103" si="101">+U103*E103</f>
        <v>0.2</v>
      </c>
      <c r="X103" s="503">
        <f>+M103/F103</f>
        <v>0.23275862068965517</v>
      </c>
      <c r="Y103" s="512">
        <f>+S103/F103</f>
        <v>0.48275862068965519</v>
      </c>
      <c r="Z103" s="503">
        <f>+X103*E103</f>
        <v>4.6551724137931037E-2</v>
      </c>
      <c r="AA103" s="504">
        <f>+Y103*E103</f>
        <v>9.6551724137931047E-2</v>
      </c>
      <c r="AB103" s="139" t="s">
        <v>1775</v>
      </c>
      <c r="AC103" s="704" t="s">
        <v>1797</v>
      </c>
      <c r="AD103" s="704" t="s">
        <v>1860</v>
      </c>
      <c r="AE103" s="106"/>
      <c r="AF103" s="106"/>
    </row>
    <row r="104" spans="1:32" ht="72" customHeight="1" thickBot="1" x14ac:dyDescent="0.4">
      <c r="A104" s="233"/>
      <c r="B104" s="894" t="s">
        <v>180</v>
      </c>
      <c r="C104" s="894" t="s">
        <v>181</v>
      </c>
      <c r="D104" s="390" t="s">
        <v>162</v>
      </c>
      <c r="E104" s="286">
        <v>0.8</v>
      </c>
      <c r="F104" s="419">
        <v>1</v>
      </c>
      <c r="G104" s="420">
        <v>0</v>
      </c>
      <c r="H104" s="420">
        <v>1</v>
      </c>
      <c r="I104" s="422"/>
      <c r="J104" s="422">
        <f>+H104/F104</f>
        <v>1</v>
      </c>
      <c r="K104" s="468"/>
      <c r="L104" s="469">
        <f t="shared" si="91"/>
        <v>0.8</v>
      </c>
      <c r="M104" s="420"/>
      <c r="N104" s="485">
        <v>0</v>
      </c>
      <c r="O104" s="481">
        <v>0</v>
      </c>
      <c r="P104" s="481">
        <v>0</v>
      </c>
      <c r="Q104" s="421"/>
      <c r="R104" s="421">
        <f>+N104+O104+P104+Q104</f>
        <v>0</v>
      </c>
      <c r="S104" s="421">
        <f>+R104+M104</f>
        <v>0</v>
      </c>
      <c r="T104" s="474"/>
      <c r="U104" s="459">
        <f>+R104/H104</f>
        <v>0</v>
      </c>
      <c r="V104" s="474"/>
      <c r="W104" s="459">
        <f>+U104*E104</f>
        <v>0</v>
      </c>
      <c r="X104" s="503">
        <v>0</v>
      </c>
      <c r="Y104" s="506">
        <f t="shared" ref="Y104:Y124" si="102">+S104/F104</f>
        <v>0</v>
      </c>
      <c r="Z104" s="503">
        <v>0</v>
      </c>
      <c r="AA104" s="504">
        <v>0</v>
      </c>
      <c r="AB104" s="139" t="s">
        <v>1775</v>
      </c>
      <c r="AC104" s="704" t="s">
        <v>1797</v>
      </c>
      <c r="AD104" s="704" t="s">
        <v>1860</v>
      </c>
      <c r="AE104" s="106"/>
      <c r="AF104" s="106"/>
    </row>
    <row r="105" spans="1:32" ht="56.25" customHeight="1" thickBot="1" x14ac:dyDescent="0.45">
      <c r="A105" s="233"/>
      <c r="B105" s="946" t="s">
        <v>1538</v>
      </c>
      <c r="C105" s="945"/>
      <c r="D105" s="390"/>
      <c r="E105" s="415">
        <v>0.4</v>
      </c>
      <c r="F105" s="418"/>
      <c r="G105" s="420"/>
      <c r="H105" s="421"/>
      <c r="I105" s="417">
        <f>+AVERAGE(I106:I124)</f>
        <v>0.23645510835913311</v>
      </c>
      <c r="J105" s="417">
        <f>+AVERAGE(J106:J124)</f>
        <v>0.25232198142414858</v>
      </c>
      <c r="K105" s="417">
        <f>+K106+K107+K108+K109+K110+K111+K112+K113+K114+K115+K116+K117+K118+K119+K120+K121+K122+K123+K124</f>
        <v>0.2325367647058823</v>
      </c>
      <c r="L105" s="417">
        <f>+L106+L107+L108+L109+L110+L111+L112+L113+L114+L115+L116+L117+L118+L119+L120+L121+L122+L123+L124</f>
        <v>0.25165441176470582</v>
      </c>
      <c r="M105" s="418"/>
      <c r="N105" s="424"/>
      <c r="O105" s="424"/>
      <c r="P105" s="424"/>
      <c r="Q105" s="424"/>
      <c r="R105" s="424"/>
      <c r="S105" s="424"/>
      <c r="T105" s="483">
        <f>+AVERAGE(T106:T124)</f>
        <v>0.98153838938616911</v>
      </c>
      <c r="U105" s="483">
        <f>+AVERAGE(U106:U124)</f>
        <v>0.6965011754438134</v>
      </c>
      <c r="V105" s="483">
        <f>+(V106+V107+V108+V109+V110+V111+V112+V113+V114+V115+V116+V117+V118+V119+V120+V121+V122+V123+V124)*E105</f>
        <v>0.38665956830676951</v>
      </c>
      <c r="W105" s="483">
        <f>+(W106+W107+W108+W109+W110+W111+W112+W113+W114+W115+W116+W117+W118+W119+W120+W121+W122+W123+W124)*E105</f>
        <v>0.25991370821046228</v>
      </c>
      <c r="X105" s="438">
        <f>+AVERAGE(X106:X124)</f>
        <v>0.24814779280939966</v>
      </c>
      <c r="Y105" s="508">
        <f>+AVERAGE(Y106:Y124)</f>
        <v>0.43926225075704034</v>
      </c>
      <c r="Z105" s="438">
        <f>+(Z106+Z107+Z108+Z109+Z110+Z111+Z112+Z113+Z114+Z115+Z116+Z117+Z118+Z119+Z120+Z121+Z122+Z123+Z124)*E105</f>
        <v>9.7453861116940044E-2</v>
      </c>
      <c r="AA105" s="499">
        <f>+(AA106+AA107+AA108+AA109+AA110+AA111+AA112+AA113+AA114+AA115+AA116+AA117+AA118+AA119+AA120+AA121+AA122+AA123+AA124)</f>
        <v>0.43185737483565367</v>
      </c>
      <c r="AB105" s="132"/>
      <c r="AC105" s="706"/>
      <c r="AD105" s="388"/>
      <c r="AE105" s="106"/>
      <c r="AF105" s="106"/>
    </row>
    <row r="106" spans="1:32" ht="137.4" customHeight="1" thickBot="1" x14ac:dyDescent="0.4">
      <c r="A106" s="233"/>
      <c r="B106" s="894" t="s">
        <v>182</v>
      </c>
      <c r="C106" s="894" t="s">
        <v>183</v>
      </c>
      <c r="D106" s="390" t="s">
        <v>162</v>
      </c>
      <c r="E106" s="470">
        <v>3.7499999999999999E-2</v>
      </c>
      <c r="F106" s="419">
        <v>4</v>
      </c>
      <c r="G106" s="420">
        <v>1</v>
      </c>
      <c r="H106" s="421">
        <v>1</v>
      </c>
      <c r="I106" s="422">
        <f t="shared" ref="I106:I124" si="103">+G106/F106</f>
        <v>0.25</v>
      </c>
      <c r="J106" s="425">
        <f>+H106/F106</f>
        <v>0.25</v>
      </c>
      <c r="K106" s="468">
        <f t="shared" ref="K106:K124" si="104">+(G106/F106)*E106</f>
        <v>9.3749999999999997E-3</v>
      </c>
      <c r="L106" s="469">
        <f t="shared" si="91"/>
        <v>9.3749999999999997E-3</v>
      </c>
      <c r="M106" s="420">
        <v>1</v>
      </c>
      <c r="N106" s="485">
        <v>0</v>
      </c>
      <c r="O106" s="481">
        <v>0</v>
      </c>
      <c r="P106" s="481">
        <v>0.65</v>
      </c>
      <c r="Q106" s="421"/>
      <c r="R106" s="421">
        <f t="shared" ref="R106:R124" si="105">+N106+O106+P106+Q106</f>
        <v>0.65</v>
      </c>
      <c r="S106" s="421">
        <f t="shared" ref="S106:S124" si="106">+R106+M106</f>
        <v>1.65</v>
      </c>
      <c r="T106" s="468">
        <f t="shared" ref="T106:T123" si="107">+(M106/G106)</f>
        <v>1</v>
      </c>
      <c r="U106" s="469">
        <f t="shared" ref="U106:U123" si="108">+R106/H106</f>
        <v>0.65</v>
      </c>
      <c r="V106" s="468">
        <f t="shared" ref="V106:V123" si="109">+T106*E106</f>
        <v>3.7499999999999999E-2</v>
      </c>
      <c r="W106" s="469">
        <f t="shared" ref="W106:W127" si="110">+U106*E106</f>
        <v>2.4375000000000001E-2</v>
      </c>
      <c r="X106" s="503">
        <f t="shared" ref="X106:X124" si="111">+M106/F106</f>
        <v>0.25</v>
      </c>
      <c r="Y106" s="512">
        <f t="shared" si="102"/>
        <v>0.41249999999999998</v>
      </c>
      <c r="Z106" s="503">
        <f t="shared" ref="Z106:Z123" si="112">+X106*E106</f>
        <v>9.3749999999999997E-3</v>
      </c>
      <c r="AA106" s="504">
        <f t="shared" ref="AA106:AA124" si="113">+Y106*E106</f>
        <v>1.5468749999999998E-2</v>
      </c>
      <c r="AB106" s="139" t="s">
        <v>1775</v>
      </c>
      <c r="AC106" s="704" t="s">
        <v>1797</v>
      </c>
      <c r="AD106" s="704" t="s">
        <v>1860</v>
      </c>
      <c r="AE106" s="106"/>
      <c r="AF106" s="106"/>
    </row>
    <row r="107" spans="1:32" ht="79.2" customHeight="1" thickBot="1" x14ac:dyDescent="0.4">
      <c r="A107" s="233"/>
      <c r="B107" s="894" t="s">
        <v>184</v>
      </c>
      <c r="C107" s="894" t="s">
        <v>185</v>
      </c>
      <c r="D107" s="390" t="s">
        <v>162</v>
      </c>
      <c r="E107" s="470">
        <v>3.7499999999999999E-2</v>
      </c>
      <c r="F107" s="419">
        <f>700*4</f>
        <v>2800</v>
      </c>
      <c r="G107" s="420">
        <v>700</v>
      </c>
      <c r="H107" s="421">
        <v>700</v>
      </c>
      <c r="I107" s="422">
        <f t="shared" si="103"/>
        <v>0.25</v>
      </c>
      <c r="J107" s="425">
        <f t="shared" ref="J107:J124" si="114">+H107/F107</f>
        <v>0.25</v>
      </c>
      <c r="K107" s="468">
        <f t="shared" si="104"/>
        <v>9.3749999999999997E-3</v>
      </c>
      <c r="L107" s="469">
        <f t="shared" si="91"/>
        <v>9.3749999999999997E-3</v>
      </c>
      <c r="M107" s="420">
        <v>700</v>
      </c>
      <c r="N107" s="485">
        <v>20</v>
      </c>
      <c r="O107" s="481">
        <v>166</v>
      </c>
      <c r="P107" s="481">
        <v>200</v>
      </c>
      <c r="Q107" s="421"/>
      <c r="R107" s="421">
        <f>+N107+O107+P107+Q107</f>
        <v>386</v>
      </c>
      <c r="S107" s="421">
        <f t="shared" si="106"/>
        <v>1086</v>
      </c>
      <c r="T107" s="468">
        <f t="shared" si="107"/>
        <v>1</v>
      </c>
      <c r="U107" s="469">
        <f t="shared" si="108"/>
        <v>0.55142857142857138</v>
      </c>
      <c r="V107" s="468">
        <f t="shared" si="109"/>
        <v>3.7499999999999999E-2</v>
      </c>
      <c r="W107" s="469">
        <f t="shared" si="110"/>
        <v>2.0678571428571425E-2</v>
      </c>
      <c r="X107" s="513">
        <f t="shared" si="111"/>
        <v>0.25</v>
      </c>
      <c r="Y107" s="514">
        <f t="shared" si="102"/>
        <v>0.38785714285714284</v>
      </c>
      <c r="Z107" s="503">
        <f t="shared" si="112"/>
        <v>9.3749999999999997E-3</v>
      </c>
      <c r="AA107" s="504">
        <f t="shared" si="113"/>
        <v>1.4544642857142857E-2</v>
      </c>
      <c r="AB107" s="139" t="s">
        <v>1775</v>
      </c>
      <c r="AC107" s="704" t="s">
        <v>1797</v>
      </c>
      <c r="AD107" s="704" t="s">
        <v>1860</v>
      </c>
      <c r="AE107" s="106"/>
      <c r="AF107" s="106"/>
    </row>
    <row r="108" spans="1:32" ht="103.2" customHeight="1" thickBot="1" x14ac:dyDescent="0.4">
      <c r="A108" s="233"/>
      <c r="B108" s="894" t="s">
        <v>186</v>
      </c>
      <c r="C108" s="894" t="s">
        <v>187</v>
      </c>
      <c r="D108" s="390" t="s">
        <v>162</v>
      </c>
      <c r="E108" s="470">
        <v>3.7499999999999999E-2</v>
      </c>
      <c r="F108" s="419">
        <f>2100*4</f>
        <v>8400</v>
      </c>
      <c r="G108" s="420">
        <v>2100</v>
      </c>
      <c r="H108" s="421">
        <v>2100</v>
      </c>
      <c r="I108" s="422">
        <f t="shared" si="103"/>
        <v>0.25</v>
      </c>
      <c r="J108" s="425">
        <f t="shared" si="114"/>
        <v>0.25</v>
      </c>
      <c r="K108" s="468">
        <f t="shared" si="104"/>
        <v>9.3749999999999997E-3</v>
      </c>
      <c r="L108" s="469">
        <f t="shared" si="91"/>
        <v>9.3749999999999997E-3</v>
      </c>
      <c r="M108" s="420">
        <v>1955</v>
      </c>
      <c r="N108" s="485">
        <v>7</v>
      </c>
      <c r="O108" s="481">
        <v>797</v>
      </c>
      <c r="P108" s="481">
        <v>600</v>
      </c>
      <c r="Q108" s="421"/>
      <c r="R108" s="421">
        <f t="shared" si="105"/>
        <v>1404</v>
      </c>
      <c r="S108" s="421">
        <f t="shared" si="106"/>
        <v>3359</v>
      </c>
      <c r="T108" s="474">
        <f t="shared" si="107"/>
        <v>0.93095238095238098</v>
      </c>
      <c r="U108" s="459">
        <f t="shared" si="108"/>
        <v>0.66857142857142859</v>
      </c>
      <c r="V108" s="474">
        <f t="shared" si="109"/>
        <v>3.4910714285714288E-2</v>
      </c>
      <c r="W108" s="459">
        <f t="shared" si="110"/>
        <v>2.5071428571428571E-2</v>
      </c>
      <c r="X108" s="503">
        <f t="shared" si="111"/>
        <v>0.23273809523809524</v>
      </c>
      <c r="Y108" s="504">
        <f t="shared" si="102"/>
        <v>0.39988095238095239</v>
      </c>
      <c r="Z108" s="503">
        <f t="shared" si="112"/>
        <v>8.727678571428572E-3</v>
      </c>
      <c r="AA108" s="504">
        <f t="shared" si="113"/>
        <v>1.4995535714285715E-2</v>
      </c>
      <c r="AB108" s="139" t="s">
        <v>1775</v>
      </c>
      <c r="AC108" s="704" t="s">
        <v>1797</v>
      </c>
      <c r="AD108" s="704" t="s">
        <v>1860</v>
      </c>
      <c r="AE108" s="106"/>
      <c r="AF108" s="106"/>
    </row>
    <row r="109" spans="1:32" ht="113.4" customHeight="1" thickBot="1" x14ac:dyDescent="0.4">
      <c r="A109" s="233"/>
      <c r="B109" s="894" t="s">
        <v>188</v>
      </c>
      <c r="C109" s="894" t="s">
        <v>189</v>
      </c>
      <c r="D109" s="390" t="s">
        <v>162</v>
      </c>
      <c r="E109" s="470">
        <v>3.7499999999999999E-2</v>
      </c>
      <c r="F109" s="419">
        <f>7600*4</f>
        <v>30400</v>
      </c>
      <c r="G109" s="420">
        <v>7600</v>
      </c>
      <c r="H109" s="421">
        <v>7600</v>
      </c>
      <c r="I109" s="422">
        <f t="shared" si="103"/>
        <v>0.25</v>
      </c>
      <c r="J109" s="425">
        <f t="shared" si="114"/>
        <v>0.25</v>
      </c>
      <c r="K109" s="468">
        <f t="shared" si="104"/>
        <v>9.3749999999999997E-3</v>
      </c>
      <c r="L109" s="469">
        <f t="shared" si="91"/>
        <v>9.3749999999999997E-3</v>
      </c>
      <c r="M109" s="420">
        <v>11360</v>
      </c>
      <c r="N109" s="485">
        <v>2784</v>
      </c>
      <c r="O109" s="481">
        <v>2278</v>
      </c>
      <c r="P109" s="481">
        <v>2278</v>
      </c>
      <c r="Q109" s="421"/>
      <c r="R109" s="421">
        <f t="shared" si="105"/>
        <v>7340</v>
      </c>
      <c r="S109" s="421">
        <f t="shared" si="106"/>
        <v>18700</v>
      </c>
      <c r="T109" s="474">
        <v>1</v>
      </c>
      <c r="U109" s="459">
        <f t="shared" si="108"/>
        <v>0.96578947368421053</v>
      </c>
      <c r="V109" s="474">
        <f t="shared" si="109"/>
        <v>3.7499999999999999E-2</v>
      </c>
      <c r="W109" s="459">
        <f t="shared" si="110"/>
        <v>3.6217105263157891E-2</v>
      </c>
      <c r="X109" s="503">
        <f>+M109/F109</f>
        <v>0.37368421052631579</v>
      </c>
      <c r="Y109" s="504">
        <f t="shared" si="102"/>
        <v>0.61513157894736847</v>
      </c>
      <c r="Z109" s="503">
        <f t="shared" si="112"/>
        <v>1.4013157894736842E-2</v>
      </c>
      <c r="AA109" s="504">
        <f t="shared" si="113"/>
        <v>2.3067434210526316E-2</v>
      </c>
      <c r="AB109" s="139" t="s">
        <v>1775</v>
      </c>
      <c r="AC109" s="704" t="s">
        <v>1797</v>
      </c>
      <c r="AD109" s="704" t="s">
        <v>1860</v>
      </c>
      <c r="AE109" s="106"/>
      <c r="AF109" s="106"/>
    </row>
    <row r="110" spans="1:32" ht="113.4" customHeight="1" thickBot="1" x14ac:dyDescent="0.4">
      <c r="A110" s="233"/>
      <c r="B110" s="894" t="s">
        <v>190</v>
      </c>
      <c r="C110" s="894" t="s">
        <v>191</v>
      </c>
      <c r="D110" s="393" t="s">
        <v>162</v>
      </c>
      <c r="E110" s="470">
        <v>0.1</v>
      </c>
      <c r="F110" s="419">
        <f>90000*4</f>
        <v>360000</v>
      </c>
      <c r="G110" s="420">
        <v>90000</v>
      </c>
      <c r="H110" s="421">
        <v>90000</v>
      </c>
      <c r="I110" s="422">
        <f t="shared" si="103"/>
        <v>0.25</v>
      </c>
      <c r="J110" s="425">
        <f t="shared" si="114"/>
        <v>0.25</v>
      </c>
      <c r="K110" s="468">
        <f t="shared" si="104"/>
        <v>2.5000000000000001E-2</v>
      </c>
      <c r="L110" s="469">
        <f t="shared" si="91"/>
        <v>2.5000000000000001E-2</v>
      </c>
      <c r="M110" s="420">
        <v>90021</v>
      </c>
      <c r="N110" s="485">
        <v>391</v>
      </c>
      <c r="O110" s="481">
        <v>3310</v>
      </c>
      <c r="P110" s="481">
        <v>4147</v>
      </c>
      <c r="Q110" s="421"/>
      <c r="R110" s="421">
        <f t="shared" si="105"/>
        <v>7848</v>
      </c>
      <c r="S110" s="421">
        <f t="shared" si="106"/>
        <v>97869</v>
      </c>
      <c r="T110" s="474">
        <v>1</v>
      </c>
      <c r="U110" s="459">
        <f>+R110/H110</f>
        <v>8.72E-2</v>
      </c>
      <c r="V110" s="474">
        <f t="shared" si="109"/>
        <v>0.1</v>
      </c>
      <c r="W110" s="459">
        <f t="shared" si="110"/>
        <v>8.7200000000000003E-3</v>
      </c>
      <c r="X110" s="503">
        <f t="shared" si="111"/>
        <v>0.25005833333333333</v>
      </c>
      <c r="Y110" s="504">
        <f t="shared" si="102"/>
        <v>0.27185833333333331</v>
      </c>
      <c r="Z110" s="503">
        <f t="shared" si="112"/>
        <v>2.5005833333333335E-2</v>
      </c>
      <c r="AA110" s="504">
        <f t="shared" si="113"/>
        <v>2.7185833333333333E-2</v>
      </c>
      <c r="AB110" s="139" t="s">
        <v>1775</v>
      </c>
      <c r="AC110" s="704" t="s">
        <v>1797</v>
      </c>
      <c r="AD110" s="704" t="s">
        <v>1860</v>
      </c>
      <c r="AE110" s="106"/>
      <c r="AF110" s="106"/>
    </row>
    <row r="111" spans="1:32" ht="115.95" customHeight="1" thickBot="1" x14ac:dyDescent="0.4">
      <c r="A111" s="233"/>
      <c r="B111" s="894" t="s">
        <v>192</v>
      </c>
      <c r="C111" s="894" t="s">
        <v>193</v>
      </c>
      <c r="D111" s="390" t="s">
        <v>162</v>
      </c>
      <c r="E111" s="470">
        <v>3.7499999999999999E-2</v>
      </c>
      <c r="F111" s="419">
        <f>17*4</f>
        <v>68</v>
      </c>
      <c r="G111" s="420">
        <v>17</v>
      </c>
      <c r="H111" s="421">
        <v>17</v>
      </c>
      <c r="I111" s="422">
        <f t="shared" si="103"/>
        <v>0.25</v>
      </c>
      <c r="J111" s="425">
        <f t="shared" si="114"/>
        <v>0.25</v>
      </c>
      <c r="K111" s="468">
        <f t="shared" si="104"/>
        <v>9.3749999999999997E-3</v>
      </c>
      <c r="L111" s="469">
        <f t="shared" si="91"/>
        <v>9.3749999999999997E-3</v>
      </c>
      <c r="M111" s="471">
        <v>15</v>
      </c>
      <c r="N111" s="485">
        <v>3.75</v>
      </c>
      <c r="O111" s="839">
        <v>11</v>
      </c>
      <c r="P111" s="839">
        <v>0.25</v>
      </c>
      <c r="Q111" s="494"/>
      <c r="R111" s="584">
        <f t="shared" si="105"/>
        <v>15</v>
      </c>
      <c r="S111" s="494">
        <f t="shared" si="106"/>
        <v>30</v>
      </c>
      <c r="T111" s="474">
        <f t="shared" ref="T111" si="115">+(M111/G111)</f>
        <v>0.88235294117647056</v>
      </c>
      <c r="U111" s="459">
        <f>+R111/H111</f>
        <v>0.88235294117647056</v>
      </c>
      <c r="V111" s="474">
        <f t="shared" ref="V111" si="116">+T111*E111</f>
        <v>3.3088235294117647E-2</v>
      </c>
      <c r="W111" s="459">
        <f t="shared" si="110"/>
        <v>3.3088235294117647E-2</v>
      </c>
      <c r="X111" s="503">
        <f t="shared" ref="X111" si="117">+M111/F111</f>
        <v>0.22058823529411764</v>
      </c>
      <c r="Y111" s="504">
        <f t="shared" si="102"/>
        <v>0.44117647058823528</v>
      </c>
      <c r="Z111" s="503">
        <f t="shared" ref="Z111" si="118">+X111*E111</f>
        <v>8.2720588235294119E-3</v>
      </c>
      <c r="AA111" s="504">
        <f t="shared" si="113"/>
        <v>1.6544117647058824E-2</v>
      </c>
      <c r="AB111" s="139" t="s">
        <v>1775</v>
      </c>
      <c r="AC111" s="704" t="s">
        <v>1797</v>
      </c>
      <c r="AD111" s="704" t="s">
        <v>1860</v>
      </c>
      <c r="AE111" s="106"/>
      <c r="AF111" s="106"/>
    </row>
    <row r="112" spans="1:32" ht="152.4" customHeight="1" thickBot="1" x14ac:dyDescent="0.4">
      <c r="A112" s="233"/>
      <c r="B112" s="894" t="s">
        <v>194</v>
      </c>
      <c r="C112" s="894" t="s">
        <v>195</v>
      </c>
      <c r="D112" s="390" t="s">
        <v>162</v>
      </c>
      <c r="E112" s="470">
        <v>3.7499999999999999E-2</v>
      </c>
      <c r="F112" s="419">
        <f>250*4</f>
        <v>1000</v>
      </c>
      <c r="G112" s="420">
        <v>250</v>
      </c>
      <c r="H112" s="421">
        <v>250</v>
      </c>
      <c r="I112" s="422">
        <f t="shared" si="103"/>
        <v>0.25</v>
      </c>
      <c r="J112" s="425">
        <f t="shared" si="114"/>
        <v>0.25</v>
      </c>
      <c r="K112" s="468">
        <f>+(G112/F112)*E112</f>
        <v>9.3749999999999997E-3</v>
      </c>
      <c r="L112" s="469">
        <f t="shared" si="91"/>
        <v>9.3749999999999997E-3</v>
      </c>
      <c r="M112" s="420">
        <v>250</v>
      </c>
      <c r="N112" s="485">
        <v>0</v>
      </c>
      <c r="O112" s="481">
        <v>68</v>
      </c>
      <c r="P112" s="481">
        <v>121</v>
      </c>
      <c r="Q112" s="421"/>
      <c r="R112" s="421">
        <f t="shared" si="105"/>
        <v>189</v>
      </c>
      <c r="S112" s="421">
        <f t="shared" si="106"/>
        <v>439</v>
      </c>
      <c r="T112" s="474">
        <f t="shared" si="107"/>
        <v>1</v>
      </c>
      <c r="U112" s="459">
        <f t="shared" si="108"/>
        <v>0.75600000000000001</v>
      </c>
      <c r="V112" s="474">
        <f t="shared" si="109"/>
        <v>3.7499999999999999E-2</v>
      </c>
      <c r="W112" s="459">
        <f t="shared" si="110"/>
        <v>2.835E-2</v>
      </c>
      <c r="X112" s="503">
        <f t="shared" si="111"/>
        <v>0.25</v>
      </c>
      <c r="Y112" s="504">
        <f t="shared" si="102"/>
        <v>0.439</v>
      </c>
      <c r="Z112" s="503">
        <f t="shared" si="112"/>
        <v>9.3749999999999997E-3</v>
      </c>
      <c r="AA112" s="504">
        <f t="shared" si="113"/>
        <v>1.6462499999999998E-2</v>
      </c>
      <c r="AB112" s="139" t="s">
        <v>1775</v>
      </c>
      <c r="AC112" s="704" t="s">
        <v>1797</v>
      </c>
      <c r="AD112" s="704" t="s">
        <v>1860</v>
      </c>
      <c r="AE112" s="106"/>
      <c r="AF112" s="106"/>
    </row>
    <row r="113" spans="1:32" ht="150" customHeight="1" thickBot="1" x14ac:dyDescent="0.4">
      <c r="A113" s="233"/>
      <c r="B113" s="894" t="s">
        <v>196</v>
      </c>
      <c r="C113" s="894" t="s">
        <v>197</v>
      </c>
      <c r="D113" s="390" t="s">
        <v>162</v>
      </c>
      <c r="E113" s="470">
        <v>3.7499999999999999E-2</v>
      </c>
      <c r="F113" s="419">
        <v>17</v>
      </c>
      <c r="G113" s="420">
        <v>2</v>
      </c>
      <c r="H113" s="421">
        <v>5</v>
      </c>
      <c r="I113" s="422">
        <f t="shared" si="103"/>
        <v>0.11764705882352941</v>
      </c>
      <c r="J113" s="425">
        <f t="shared" si="114"/>
        <v>0.29411764705882354</v>
      </c>
      <c r="K113" s="468">
        <f t="shared" si="104"/>
        <v>4.4117647058823529E-3</v>
      </c>
      <c r="L113" s="469">
        <f t="shared" si="91"/>
        <v>1.1029411764705883E-2</v>
      </c>
      <c r="M113" s="420">
        <v>2</v>
      </c>
      <c r="N113" s="485">
        <v>0</v>
      </c>
      <c r="O113" s="481">
        <v>2.5</v>
      </c>
      <c r="P113" s="481">
        <v>1.5</v>
      </c>
      <c r="Q113" s="421"/>
      <c r="R113" s="421">
        <f t="shared" si="105"/>
        <v>4</v>
      </c>
      <c r="S113" s="421">
        <f t="shared" si="106"/>
        <v>6</v>
      </c>
      <c r="T113" s="474">
        <f t="shared" si="107"/>
        <v>1</v>
      </c>
      <c r="U113" s="459">
        <f t="shared" si="108"/>
        <v>0.8</v>
      </c>
      <c r="V113" s="474">
        <f t="shared" si="109"/>
        <v>3.7499999999999999E-2</v>
      </c>
      <c r="W113" s="459">
        <f t="shared" si="110"/>
        <v>0.03</v>
      </c>
      <c r="X113" s="503">
        <f t="shared" si="111"/>
        <v>0.11764705882352941</v>
      </c>
      <c r="Y113" s="504">
        <f t="shared" si="102"/>
        <v>0.35294117647058826</v>
      </c>
      <c r="Z113" s="503">
        <f t="shared" si="112"/>
        <v>4.4117647058823529E-3</v>
      </c>
      <c r="AA113" s="504">
        <f t="shared" si="113"/>
        <v>1.3235294117647059E-2</v>
      </c>
      <c r="AB113" s="139" t="s">
        <v>1775</v>
      </c>
      <c r="AC113" s="704" t="s">
        <v>1797</v>
      </c>
      <c r="AD113" s="704" t="s">
        <v>1860</v>
      </c>
      <c r="AE113" s="106"/>
      <c r="AF113" s="106"/>
    </row>
    <row r="114" spans="1:32" ht="164.4" customHeight="1" thickBot="1" x14ac:dyDescent="0.4">
      <c r="A114" s="233"/>
      <c r="B114" s="894" t="s">
        <v>198</v>
      </c>
      <c r="C114" s="894" t="s">
        <v>199</v>
      </c>
      <c r="D114" s="390" t="s">
        <v>162</v>
      </c>
      <c r="E114" s="470">
        <v>3.7499999999999999E-2</v>
      </c>
      <c r="F114" s="419">
        <v>160</v>
      </c>
      <c r="G114" s="420">
        <v>40</v>
      </c>
      <c r="H114" s="421">
        <v>40</v>
      </c>
      <c r="I114" s="422">
        <f t="shared" si="103"/>
        <v>0.25</v>
      </c>
      <c r="J114" s="425">
        <f t="shared" si="114"/>
        <v>0.25</v>
      </c>
      <c r="K114" s="468">
        <f t="shared" si="104"/>
        <v>9.3749999999999997E-3</v>
      </c>
      <c r="L114" s="469">
        <f t="shared" si="91"/>
        <v>9.3749999999999997E-3</v>
      </c>
      <c r="M114" s="420">
        <v>40</v>
      </c>
      <c r="N114" s="485">
        <v>0</v>
      </c>
      <c r="O114" s="481">
        <v>33</v>
      </c>
      <c r="P114" s="481">
        <v>18</v>
      </c>
      <c r="Q114" s="421"/>
      <c r="R114" s="421">
        <f t="shared" si="105"/>
        <v>51</v>
      </c>
      <c r="S114" s="421">
        <f t="shared" si="106"/>
        <v>91</v>
      </c>
      <c r="T114" s="474">
        <v>1</v>
      </c>
      <c r="U114" s="459">
        <v>1</v>
      </c>
      <c r="V114" s="474">
        <f t="shared" si="109"/>
        <v>3.7499999999999999E-2</v>
      </c>
      <c r="W114" s="459">
        <f t="shared" si="110"/>
        <v>3.7499999999999999E-2</v>
      </c>
      <c r="X114" s="503">
        <f t="shared" si="111"/>
        <v>0.25</v>
      </c>
      <c r="Y114" s="504">
        <f t="shared" si="102"/>
        <v>0.56874999999999998</v>
      </c>
      <c r="Z114" s="503">
        <f t="shared" si="112"/>
        <v>9.3749999999999997E-3</v>
      </c>
      <c r="AA114" s="504">
        <f t="shared" si="113"/>
        <v>2.1328125E-2</v>
      </c>
      <c r="AB114" s="139" t="s">
        <v>1775</v>
      </c>
      <c r="AC114" s="704" t="s">
        <v>1797</v>
      </c>
      <c r="AD114" s="704" t="s">
        <v>1860</v>
      </c>
      <c r="AE114" s="106"/>
      <c r="AF114" s="106"/>
    </row>
    <row r="115" spans="1:32" ht="80.400000000000006" customHeight="1" thickBot="1" x14ac:dyDescent="0.4">
      <c r="A115" s="233"/>
      <c r="B115" s="894" t="s">
        <v>200</v>
      </c>
      <c r="C115" s="894" t="s">
        <v>201</v>
      </c>
      <c r="D115" s="390" t="s">
        <v>162</v>
      </c>
      <c r="E115" s="470">
        <v>3.7499999999999999E-2</v>
      </c>
      <c r="F115" s="419">
        <v>14000</v>
      </c>
      <c r="G115" s="420">
        <v>3500</v>
      </c>
      <c r="H115" s="421">
        <v>3500</v>
      </c>
      <c r="I115" s="422">
        <f t="shared" si="103"/>
        <v>0.25</v>
      </c>
      <c r="J115" s="425">
        <f t="shared" si="114"/>
        <v>0.25</v>
      </c>
      <c r="K115" s="468">
        <f t="shared" si="104"/>
        <v>9.3749999999999997E-3</v>
      </c>
      <c r="L115" s="469">
        <f t="shared" si="91"/>
        <v>9.3749999999999997E-3</v>
      </c>
      <c r="M115" s="420">
        <v>3500</v>
      </c>
      <c r="N115" s="485">
        <v>650</v>
      </c>
      <c r="O115" s="481">
        <v>1058</v>
      </c>
      <c r="P115" s="481">
        <v>566</v>
      </c>
      <c r="Q115" s="421"/>
      <c r="R115" s="421">
        <f t="shared" si="105"/>
        <v>2274</v>
      </c>
      <c r="S115" s="421">
        <f t="shared" si="106"/>
        <v>5774</v>
      </c>
      <c r="T115" s="474">
        <f t="shared" si="107"/>
        <v>1</v>
      </c>
      <c r="U115" s="459">
        <f t="shared" si="108"/>
        <v>0.64971428571428569</v>
      </c>
      <c r="V115" s="474">
        <f t="shared" si="109"/>
        <v>3.7499999999999999E-2</v>
      </c>
      <c r="W115" s="459">
        <f t="shared" si="110"/>
        <v>2.4364285714285713E-2</v>
      </c>
      <c r="X115" s="503">
        <f t="shared" si="111"/>
        <v>0.25</v>
      </c>
      <c r="Y115" s="504">
        <f t="shared" si="102"/>
        <v>0.41242857142857142</v>
      </c>
      <c r="Z115" s="503">
        <f t="shared" si="112"/>
        <v>9.3749999999999997E-3</v>
      </c>
      <c r="AA115" s="504">
        <f t="shared" si="113"/>
        <v>1.5466071428571428E-2</v>
      </c>
      <c r="AB115" s="139" t="s">
        <v>1775</v>
      </c>
      <c r="AC115" s="704" t="s">
        <v>1797</v>
      </c>
      <c r="AD115" s="704" t="s">
        <v>1860</v>
      </c>
      <c r="AE115" s="106"/>
      <c r="AF115" s="106"/>
    </row>
    <row r="116" spans="1:32" ht="91.95" customHeight="1" thickBot="1" x14ac:dyDescent="0.4">
      <c r="A116" s="233"/>
      <c r="B116" s="894" t="s">
        <v>202</v>
      </c>
      <c r="C116" s="894" t="s">
        <v>203</v>
      </c>
      <c r="D116" s="390" t="s">
        <v>162</v>
      </c>
      <c r="E116" s="470">
        <v>3.7499999999999999E-2</v>
      </c>
      <c r="F116" s="419">
        <v>380</v>
      </c>
      <c r="G116" s="420">
        <v>95</v>
      </c>
      <c r="H116" s="421">
        <v>95</v>
      </c>
      <c r="I116" s="422">
        <f t="shared" si="103"/>
        <v>0.25</v>
      </c>
      <c r="J116" s="425">
        <f t="shared" si="114"/>
        <v>0.25</v>
      </c>
      <c r="K116" s="468">
        <f t="shared" si="104"/>
        <v>9.3749999999999997E-3</v>
      </c>
      <c r="L116" s="469">
        <f t="shared" si="91"/>
        <v>9.3749999999999997E-3</v>
      </c>
      <c r="M116" s="420">
        <v>94</v>
      </c>
      <c r="N116" s="485">
        <v>0</v>
      </c>
      <c r="O116" s="481">
        <v>31</v>
      </c>
      <c r="P116" s="481">
        <v>20</v>
      </c>
      <c r="Q116" s="421"/>
      <c r="R116" s="421">
        <f t="shared" si="105"/>
        <v>51</v>
      </c>
      <c r="S116" s="421">
        <f t="shared" si="106"/>
        <v>145</v>
      </c>
      <c r="T116" s="474">
        <f t="shared" si="107"/>
        <v>0.98947368421052628</v>
      </c>
      <c r="U116" s="459">
        <f t="shared" si="108"/>
        <v>0.5368421052631579</v>
      </c>
      <c r="V116" s="474">
        <f t="shared" si="109"/>
        <v>3.7105263157894731E-2</v>
      </c>
      <c r="W116" s="459">
        <f t="shared" si="110"/>
        <v>2.013157894736842E-2</v>
      </c>
      <c r="X116" s="503">
        <f t="shared" si="111"/>
        <v>0.24736842105263157</v>
      </c>
      <c r="Y116" s="504">
        <f t="shared" si="102"/>
        <v>0.38157894736842107</v>
      </c>
      <c r="Z116" s="503">
        <f t="shared" si="112"/>
        <v>9.2763157894736829E-3</v>
      </c>
      <c r="AA116" s="504">
        <f t="shared" si="113"/>
        <v>1.4309210526315789E-2</v>
      </c>
      <c r="AB116" s="139" t="s">
        <v>1775</v>
      </c>
      <c r="AC116" s="704" t="s">
        <v>1797</v>
      </c>
      <c r="AD116" s="704" t="s">
        <v>1860</v>
      </c>
      <c r="AE116" s="106"/>
      <c r="AF116" s="106"/>
    </row>
    <row r="117" spans="1:32" ht="163.19999999999999" customHeight="1" thickBot="1" x14ac:dyDescent="0.4">
      <c r="A117" s="233"/>
      <c r="B117" s="894" t="s">
        <v>204</v>
      </c>
      <c r="C117" s="894" t="s">
        <v>205</v>
      </c>
      <c r="D117" s="390" t="s">
        <v>162</v>
      </c>
      <c r="E117" s="470">
        <v>3.7499999999999999E-2</v>
      </c>
      <c r="F117" s="419">
        <v>2700</v>
      </c>
      <c r="G117" s="420">
        <v>675</v>
      </c>
      <c r="H117" s="421">
        <v>675</v>
      </c>
      <c r="I117" s="422">
        <f t="shared" si="103"/>
        <v>0.25</v>
      </c>
      <c r="J117" s="425">
        <f t="shared" si="114"/>
        <v>0.25</v>
      </c>
      <c r="K117" s="468">
        <f t="shared" si="104"/>
        <v>9.3749999999999997E-3</v>
      </c>
      <c r="L117" s="469">
        <f t="shared" si="91"/>
        <v>9.3749999999999997E-3</v>
      </c>
      <c r="M117" s="420">
        <v>674</v>
      </c>
      <c r="N117" s="485">
        <v>7</v>
      </c>
      <c r="O117" s="481">
        <v>212</v>
      </c>
      <c r="P117" s="481">
        <v>98</v>
      </c>
      <c r="Q117" s="421"/>
      <c r="R117" s="421">
        <f t="shared" si="105"/>
        <v>317</v>
      </c>
      <c r="S117" s="421">
        <f t="shared" si="106"/>
        <v>991</v>
      </c>
      <c r="T117" s="474">
        <f t="shared" si="107"/>
        <v>0.99851851851851847</v>
      </c>
      <c r="U117" s="459">
        <f t="shared" si="108"/>
        <v>0.46962962962962962</v>
      </c>
      <c r="V117" s="474">
        <f t="shared" si="109"/>
        <v>3.744444444444444E-2</v>
      </c>
      <c r="W117" s="459">
        <f t="shared" si="110"/>
        <v>1.7611111111111109E-2</v>
      </c>
      <c r="X117" s="503">
        <f t="shared" si="111"/>
        <v>0.24962962962962962</v>
      </c>
      <c r="Y117" s="504">
        <f t="shared" si="102"/>
        <v>0.36703703703703705</v>
      </c>
      <c r="Z117" s="503">
        <f t="shared" si="112"/>
        <v>9.36111111111111E-3</v>
      </c>
      <c r="AA117" s="504">
        <f t="shared" si="113"/>
        <v>1.376388888888889E-2</v>
      </c>
      <c r="AB117" s="139" t="s">
        <v>1775</v>
      </c>
      <c r="AC117" s="704" t="s">
        <v>1797</v>
      </c>
      <c r="AD117" s="704" t="s">
        <v>1860</v>
      </c>
      <c r="AE117" s="106"/>
      <c r="AF117" s="106"/>
    </row>
    <row r="118" spans="1:32" ht="100.2" customHeight="1" thickBot="1" x14ac:dyDescent="0.4">
      <c r="A118" s="233"/>
      <c r="B118" s="894" t="s">
        <v>206</v>
      </c>
      <c r="C118" s="894" t="s">
        <v>207</v>
      </c>
      <c r="D118" s="390" t="s">
        <v>162</v>
      </c>
      <c r="E118" s="470">
        <v>0.2</v>
      </c>
      <c r="F118" s="419">
        <v>59184</v>
      </c>
      <c r="G118" s="420">
        <v>14796</v>
      </c>
      <c r="H118" s="420">
        <v>14796</v>
      </c>
      <c r="I118" s="422">
        <f t="shared" si="103"/>
        <v>0.25</v>
      </c>
      <c r="J118" s="425">
        <f t="shared" si="114"/>
        <v>0.25</v>
      </c>
      <c r="K118" s="468">
        <f t="shared" si="104"/>
        <v>0.05</v>
      </c>
      <c r="L118" s="469">
        <f t="shared" si="91"/>
        <v>0.05</v>
      </c>
      <c r="M118" s="420">
        <v>12957</v>
      </c>
      <c r="N118" s="485">
        <v>1876</v>
      </c>
      <c r="O118" s="485">
        <v>3026</v>
      </c>
      <c r="P118" s="481">
        <v>2890</v>
      </c>
      <c r="Q118" s="421"/>
      <c r="R118" s="421">
        <f t="shared" si="105"/>
        <v>7792</v>
      </c>
      <c r="S118" s="421">
        <f t="shared" si="106"/>
        <v>20749</v>
      </c>
      <c r="T118" s="474">
        <f t="shared" si="107"/>
        <v>0.87570965125709654</v>
      </c>
      <c r="U118" s="459">
        <f t="shared" si="108"/>
        <v>0.52662881859962152</v>
      </c>
      <c r="V118" s="474">
        <f t="shared" si="109"/>
        <v>0.17514193025141933</v>
      </c>
      <c r="W118" s="459">
        <f t="shared" si="110"/>
        <v>0.1053257637199243</v>
      </c>
      <c r="X118" s="503">
        <f t="shared" si="111"/>
        <v>0.21892741281427414</v>
      </c>
      <c r="Y118" s="504">
        <f t="shared" si="102"/>
        <v>0.35058461746417952</v>
      </c>
      <c r="Z118" s="503">
        <f t="shared" si="112"/>
        <v>4.3785482562854833E-2</v>
      </c>
      <c r="AA118" s="504">
        <f t="shared" si="113"/>
        <v>7.0116923492835909E-2</v>
      </c>
      <c r="AB118" s="139" t="s">
        <v>1775</v>
      </c>
      <c r="AC118" s="704" t="s">
        <v>1797</v>
      </c>
      <c r="AD118" s="704" t="s">
        <v>1860</v>
      </c>
      <c r="AE118" s="106"/>
      <c r="AF118" s="106"/>
    </row>
    <row r="119" spans="1:32" ht="94.95" customHeight="1" thickBot="1" x14ac:dyDescent="0.4">
      <c r="A119" s="233"/>
      <c r="B119" s="894" t="s">
        <v>208</v>
      </c>
      <c r="C119" s="894" t="s">
        <v>209</v>
      </c>
      <c r="D119" s="390" t="s">
        <v>162</v>
      </c>
      <c r="E119" s="470">
        <v>3.7499999999999999E-2</v>
      </c>
      <c r="F119" s="419">
        <v>28</v>
      </c>
      <c r="G119" s="420">
        <v>7</v>
      </c>
      <c r="H119" s="421">
        <v>7</v>
      </c>
      <c r="I119" s="422">
        <f t="shared" si="103"/>
        <v>0.25</v>
      </c>
      <c r="J119" s="425">
        <f t="shared" si="114"/>
        <v>0.25</v>
      </c>
      <c r="K119" s="468">
        <f t="shared" si="104"/>
        <v>9.3749999999999997E-3</v>
      </c>
      <c r="L119" s="469">
        <f t="shared" si="91"/>
        <v>9.3749999999999997E-3</v>
      </c>
      <c r="M119" s="420">
        <v>7</v>
      </c>
      <c r="N119" s="485">
        <v>0</v>
      </c>
      <c r="O119" s="481">
        <v>3.7</v>
      </c>
      <c r="P119" s="481">
        <v>0.69</v>
      </c>
      <c r="Q119" s="421"/>
      <c r="R119" s="421">
        <f t="shared" si="105"/>
        <v>4.3900000000000006</v>
      </c>
      <c r="S119" s="421">
        <f t="shared" si="106"/>
        <v>11.39</v>
      </c>
      <c r="T119" s="474">
        <f t="shared" si="107"/>
        <v>1</v>
      </c>
      <c r="U119" s="459">
        <f t="shared" si="108"/>
        <v>0.62714285714285722</v>
      </c>
      <c r="V119" s="474">
        <f t="shared" si="109"/>
        <v>3.7499999999999999E-2</v>
      </c>
      <c r="W119" s="459">
        <f t="shared" si="110"/>
        <v>2.3517857142857146E-2</v>
      </c>
      <c r="X119" s="503">
        <f t="shared" si="111"/>
        <v>0.25</v>
      </c>
      <c r="Y119" s="504">
        <f t="shared" si="102"/>
        <v>0.40678571428571431</v>
      </c>
      <c r="Z119" s="503">
        <f t="shared" si="112"/>
        <v>9.3749999999999997E-3</v>
      </c>
      <c r="AA119" s="504">
        <f t="shared" si="113"/>
        <v>1.5254464285714286E-2</v>
      </c>
      <c r="AB119" s="139" t="s">
        <v>1775</v>
      </c>
      <c r="AC119" s="704" t="s">
        <v>1797</v>
      </c>
      <c r="AD119" s="704" t="s">
        <v>1860</v>
      </c>
      <c r="AE119" s="106"/>
      <c r="AF119" s="106"/>
    </row>
    <row r="120" spans="1:32" ht="153.6" customHeight="1" thickBot="1" x14ac:dyDescent="0.4">
      <c r="A120" s="233"/>
      <c r="B120" s="894" t="s">
        <v>210</v>
      </c>
      <c r="C120" s="894" t="s">
        <v>211</v>
      </c>
      <c r="D120" s="390" t="s">
        <v>162</v>
      </c>
      <c r="E120" s="470">
        <v>0.1</v>
      </c>
      <c r="F120" s="419">
        <v>32</v>
      </c>
      <c r="G120" s="420">
        <v>4</v>
      </c>
      <c r="H120" s="421">
        <v>8</v>
      </c>
      <c r="I120" s="422">
        <f t="shared" si="103"/>
        <v>0.125</v>
      </c>
      <c r="J120" s="425">
        <f t="shared" si="114"/>
        <v>0.25</v>
      </c>
      <c r="K120" s="468">
        <f t="shared" si="104"/>
        <v>1.2500000000000001E-2</v>
      </c>
      <c r="L120" s="469">
        <f>+(H120/F120)*E120</f>
        <v>2.5000000000000001E-2</v>
      </c>
      <c r="M120" s="420">
        <v>8</v>
      </c>
      <c r="N120" s="485">
        <v>0</v>
      </c>
      <c r="O120" s="481">
        <v>12</v>
      </c>
      <c r="P120" s="481">
        <v>3</v>
      </c>
      <c r="Q120" s="421"/>
      <c r="R120" s="421">
        <f t="shared" si="105"/>
        <v>15</v>
      </c>
      <c r="S120" s="421">
        <f t="shared" si="106"/>
        <v>23</v>
      </c>
      <c r="T120" s="474">
        <v>1</v>
      </c>
      <c r="U120" s="459">
        <v>1</v>
      </c>
      <c r="V120" s="474">
        <f t="shared" si="109"/>
        <v>0.1</v>
      </c>
      <c r="W120" s="459">
        <f t="shared" si="110"/>
        <v>0.1</v>
      </c>
      <c r="X120" s="503">
        <f>+M120/F120</f>
        <v>0.25</v>
      </c>
      <c r="Y120" s="504">
        <f t="shared" si="102"/>
        <v>0.71875</v>
      </c>
      <c r="Z120" s="503">
        <f t="shared" si="112"/>
        <v>2.5000000000000001E-2</v>
      </c>
      <c r="AA120" s="504">
        <f t="shared" si="113"/>
        <v>7.1875000000000008E-2</v>
      </c>
      <c r="AB120" s="613" t="s">
        <v>1776</v>
      </c>
      <c r="AC120" s="704" t="s">
        <v>1797</v>
      </c>
      <c r="AD120" s="704" t="s">
        <v>1860</v>
      </c>
      <c r="AE120" s="106"/>
      <c r="AF120" s="106"/>
    </row>
    <row r="121" spans="1:32" ht="176.4" customHeight="1" thickBot="1" x14ac:dyDescent="0.4">
      <c r="A121" s="233"/>
      <c r="B121" s="894" t="s">
        <v>212</v>
      </c>
      <c r="C121" s="894" t="s">
        <v>213</v>
      </c>
      <c r="D121" s="390" t="s">
        <v>162</v>
      </c>
      <c r="E121" s="470">
        <v>3.7499999999999999E-2</v>
      </c>
      <c r="F121" s="419">
        <f>72*4</f>
        <v>288</v>
      </c>
      <c r="G121" s="420">
        <v>72</v>
      </c>
      <c r="H121" s="421">
        <v>72</v>
      </c>
      <c r="I121" s="422">
        <f t="shared" si="103"/>
        <v>0.25</v>
      </c>
      <c r="J121" s="425">
        <f t="shared" si="114"/>
        <v>0.25</v>
      </c>
      <c r="K121" s="468">
        <f t="shared" si="104"/>
        <v>9.3749999999999997E-3</v>
      </c>
      <c r="L121" s="469">
        <f t="shared" si="91"/>
        <v>9.3749999999999997E-3</v>
      </c>
      <c r="M121" s="420">
        <v>70</v>
      </c>
      <c r="N121" s="485">
        <v>0</v>
      </c>
      <c r="O121" s="481">
        <v>36</v>
      </c>
      <c r="P121" s="481">
        <v>30</v>
      </c>
      <c r="Q121" s="421"/>
      <c r="R121" s="421">
        <f t="shared" si="105"/>
        <v>66</v>
      </c>
      <c r="S121" s="421">
        <f t="shared" si="106"/>
        <v>136</v>
      </c>
      <c r="T121" s="474">
        <f t="shared" si="107"/>
        <v>0.97222222222222221</v>
      </c>
      <c r="U121" s="459">
        <f>+R121/H121</f>
        <v>0.91666666666666663</v>
      </c>
      <c r="V121" s="474">
        <f t="shared" si="109"/>
        <v>3.6458333333333329E-2</v>
      </c>
      <c r="W121" s="459">
        <f t="shared" si="110"/>
        <v>3.4374999999999996E-2</v>
      </c>
      <c r="X121" s="503">
        <f t="shared" si="111"/>
        <v>0.24305555555555555</v>
      </c>
      <c r="Y121" s="504">
        <f t="shared" si="102"/>
        <v>0.47222222222222221</v>
      </c>
      <c r="Z121" s="503">
        <f t="shared" si="112"/>
        <v>9.1145833333333322E-3</v>
      </c>
      <c r="AA121" s="504">
        <f t="shared" si="113"/>
        <v>1.7708333333333333E-2</v>
      </c>
      <c r="AB121" s="613" t="s">
        <v>1775</v>
      </c>
      <c r="AC121" s="704" t="s">
        <v>1797</v>
      </c>
      <c r="AD121" s="704" t="s">
        <v>1860</v>
      </c>
      <c r="AE121" s="106"/>
      <c r="AF121" s="106"/>
    </row>
    <row r="122" spans="1:32" ht="114.6" customHeight="1" thickBot="1" x14ac:dyDescent="0.4">
      <c r="A122" s="233"/>
      <c r="B122" s="894" t="s">
        <v>214</v>
      </c>
      <c r="C122" s="894" t="s">
        <v>215</v>
      </c>
      <c r="D122" s="390" t="s">
        <v>162</v>
      </c>
      <c r="E122" s="470">
        <v>3.7499999999999999E-2</v>
      </c>
      <c r="F122" s="419">
        <v>300</v>
      </c>
      <c r="G122" s="420">
        <v>75</v>
      </c>
      <c r="H122" s="421">
        <v>75</v>
      </c>
      <c r="I122" s="422">
        <f t="shared" si="103"/>
        <v>0.25</v>
      </c>
      <c r="J122" s="425">
        <f t="shared" si="114"/>
        <v>0.25</v>
      </c>
      <c r="K122" s="468">
        <f t="shared" si="104"/>
        <v>9.3749999999999997E-3</v>
      </c>
      <c r="L122" s="469">
        <f t="shared" si="91"/>
        <v>9.3749999999999997E-3</v>
      </c>
      <c r="M122" s="420">
        <v>75</v>
      </c>
      <c r="N122" s="485">
        <v>0</v>
      </c>
      <c r="O122" s="481">
        <v>20</v>
      </c>
      <c r="P122" s="481">
        <v>32</v>
      </c>
      <c r="Q122" s="421"/>
      <c r="R122" s="421">
        <f t="shared" si="105"/>
        <v>52</v>
      </c>
      <c r="S122" s="421">
        <f t="shared" si="106"/>
        <v>127</v>
      </c>
      <c r="T122" s="474">
        <f t="shared" si="107"/>
        <v>1</v>
      </c>
      <c r="U122" s="459">
        <f t="shared" si="108"/>
        <v>0.69333333333333336</v>
      </c>
      <c r="V122" s="474">
        <f t="shared" si="109"/>
        <v>3.7499999999999999E-2</v>
      </c>
      <c r="W122" s="459">
        <f>+U122*E122</f>
        <v>2.5999999999999999E-2</v>
      </c>
      <c r="X122" s="503">
        <f t="shared" si="111"/>
        <v>0.25</v>
      </c>
      <c r="Y122" s="504">
        <f t="shared" si="102"/>
        <v>0.42333333333333334</v>
      </c>
      <c r="Z122" s="503">
        <f t="shared" si="112"/>
        <v>9.3749999999999997E-3</v>
      </c>
      <c r="AA122" s="504">
        <f t="shared" si="113"/>
        <v>1.5875E-2</v>
      </c>
      <c r="AB122" s="613" t="s">
        <v>1775</v>
      </c>
      <c r="AC122" s="704" t="s">
        <v>1797</v>
      </c>
      <c r="AD122" s="704" t="s">
        <v>1860</v>
      </c>
      <c r="AE122" s="106"/>
      <c r="AF122" s="106"/>
    </row>
    <row r="123" spans="1:32" ht="105.6" customHeight="1" thickBot="1" x14ac:dyDescent="0.4">
      <c r="A123" s="233"/>
      <c r="B123" s="894" t="s">
        <v>216</v>
      </c>
      <c r="C123" s="894" t="s">
        <v>217</v>
      </c>
      <c r="D123" s="390" t="s">
        <v>162</v>
      </c>
      <c r="E123" s="470">
        <v>3.7499999999999999E-2</v>
      </c>
      <c r="F123" s="419">
        <v>300</v>
      </c>
      <c r="G123" s="420">
        <v>75</v>
      </c>
      <c r="H123" s="421">
        <v>75</v>
      </c>
      <c r="I123" s="422">
        <f t="shared" si="103"/>
        <v>0.25</v>
      </c>
      <c r="J123" s="425">
        <f t="shared" si="114"/>
        <v>0.25</v>
      </c>
      <c r="K123" s="468">
        <f t="shared" si="104"/>
        <v>9.3749999999999997E-3</v>
      </c>
      <c r="L123" s="469">
        <f t="shared" si="91"/>
        <v>9.3749999999999997E-3</v>
      </c>
      <c r="M123" s="420">
        <v>75</v>
      </c>
      <c r="N123" s="485">
        <v>0</v>
      </c>
      <c r="O123" s="481">
        <v>19</v>
      </c>
      <c r="P123" s="481">
        <v>37</v>
      </c>
      <c r="Q123" s="421"/>
      <c r="R123" s="421">
        <f t="shared" si="105"/>
        <v>56</v>
      </c>
      <c r="S123" s="421">
        <f t="shared" si="106"/>
        <v>131</v>
      </c>
      <c r="T123" s="474">
        <f t="shared" si="107"/>
        <v>1</v>
      </c>
      <c r="U123" s="459">
        <f t="shared" si="108"/>
        <v>0.7466666666666667</v>
      </c>
      <c r="V123" s="474">
        <f t="shared" si="109"/>
        <v>3.7499999999999999E-2</v>
      </c>
      <c r="W123" s="459">
        <f t="shared" si="110"/>
        <v>2.8000000000000001E-2</v>
      </c>
      <c r="X123" s="503">
        <f t="shared" si="111"/>
        <v>0.25</v>
      </c>
      <c r="Y123" s="504">
        <f t="shared" si="102"/>
        <v>0.43666666666666665</v>
      </c>
      <c r="Z123" s="503">
        <f t="shared" si="112"/>
        <v>9.3749999999999997E-3</v>
      </c>
      <c r="AA123" s="504">
        <f t="shared" si="113"/>
        <v>1.6374999999999997E-2</v>
      </c>
      <c r="AB123" s="613" t="s">
        <v>1775</v>
      </c>
      <c r="AC123" s="704" t="s">
        <v>1797</v>
      </c>
      <c r="AD123" s="704" t="s">
        <v>1860</v>
      </c>
      <c r="AE123" s="106"/>
      <c r="AF123" s="106"/>
    </row>
    <row r="124" spans="1:32" ht="92.4" customHeight="1" thickBot="1" x14ac:dyDescent="0.4">
      <c r="A124" s="233"/>
      <c r="B124" s="894" t="s">
        <v>218</v>
      </c>
      <c r="C124" s="894" t="s">
        <v>219</v>
      </c>
      <c r="D124" s="390" t="s">
        <v>162</v>
      </c>
      <c r="E124" s="470">
        <v>3.7499999999999999E-2</v>
      </c>
      <c r="F124" s="419">
        <v>720</v>
      </c>
      <c r="G124" s="420">
        <v>180</v>
      </c>
      <c r="H124" s="421">
        <v>180</v>
      </c>
      <c r="I124" s="422">
        <f t="shared" si="103"/>
        <v>0.25</v>
      </c>
      <c r="J124" s="425">
        <f t="shared" si="114"/>
        <v>0.25</v>
      </c>
      <c r="K124" s="468">
        <f t="shared" si="104"/>
        <v>9.3749999999999997E-3</v>
      </c>
      <c r="L124" s="469">
        <f t="shared" si="91"/>
        <v>9.3749999999999997E-3</v>
      </c>
      <c r="M124" s="420">
        <v>224</v>
      </c>
      <c r="N124" s="485">
        <v>3</v>
      </c>
      <c r="O124" s="481">
        <v>76</v>
      </c>
      <c r="P124" s="481">
        <v>48</v>
      </c>
      <c r="Q124" s="421"/>
      <c r="R124" s="421">
        <f t="shared" si="105"/>
        <v>127</v>
      </c>
      <c r="S124" s="421">
        <f t="shared" si="106"/>
        <v>351</v>
      </c>
      <c r="T124" s="474">
        <v>1</v>
      </c>
      <c r="U124" s="459">
        <f>+R124/H124</f>
        <v>0.7055555555555556</v>
      </c>
      <c r="V124" s="474">
        <f>+T124*E124</f>
        <v>3.7499999999999999E-2</v>
      </c>
      <c r="W124" s="459">
        <f t="shared" si="110"/>
        <v>2.6458333333333334E-2</v>
      </c>
      <c r="X124" s="503">
        <f t="shared" si="111"/>
        <v>0.31111111111111112</v>
      </c>
      <c r="Y124" s="506">
        <f t="shared" si="102"/>
        <v>0.48749999999999999</v>
      </c>
      <c r="Z124" s="503">
        <f>+X124*E124</f>
        <v>1.1666666666666667E-2</v>
      </c>
      <c r="AA124" s="504">
        <f t="shared" si="113"/>
        <v>1.8281249999999999E-2</v>
      </c>
      <c r="AB124" s="613" t="s">
        <v>1775</v>
      </c>
      <c r="AC124" s="704" t="s">
        <v>1797</v>
      </c>
      <c r="AD124" s="704" t="s">
        <v>1860</v>
      </c>
      <c r="AE124" s="106"/>
      <c r="AF124" s="106"/>
    </row>
    <row r="125" spans="1:32" ht="189" customHeight="1" thickBot="1" x14ac:dyDescent="0.45">
      <c r="A125" s="233"/>
      <c r="B125" s="946" t="s">
        <v>1539</v>
      </c>
      <c r="C125" s="945"/>
      <c r="D125" s="390"/>
      <c r="E125" s="415">
        <v>0.05</v>
      </c>
      <c r="F125" s="418"/>
      <c r="G125" s="420"/>
      <c r="H125" s="421"/>
      <c r="I125" s="417">
        <f>+AVERAGE(I126:I129)</f>
        <v>0.25</v>
      </c>
      <c r="J125" s="417">
        <f>+AVERAGE(J126:J129)</f>
        <v>0.25</v>
      </c>
      <c r="K125" s="417">
        <f>+K126+K127+K128+K129</f>
        <v>0.15</v>
      </c>
      <c r="L125" s="417">
        <f>+L126+L127+L128+L129</f>
        <v>0.15</v>
      </c>
      <c r="M125" s="418"/>
      <c r="N125" s="424"/>
      <c r="O125" s="424"/>
      <c r="P125" s="424"/>
      <c r="Q125" s="424"/>
      <c r="R125" s="424"/>
      <c r="S125" s="424"/>
      <c r="T125" s="483">
        <f>+AVERAGE(T126:T129)</f>
        <v>1</v>
      </c>
      <c r="U125" s="483">
        <f>+AVERAGE(U126:U129)</f>
        <v>0.9</v>
      </c>
      <c r="V125" s="483">
        <f>+(V126+V127+V128+V129)*E125</f>
        <v>0.03</v>
      </c>
      <c r="W125" s="483">
        <f>+(W126+W127+W128+W129)*F125</f>
        <v>0</v>
      </c>
      <c r="X125" s="438">
        <f>+AVERAGE(X126:X129)</f>
        <v>0.25</v>
      </c>
      <c r="Y125" s="438">
        <f>+X125+((Y127-X127)/4)+((Y126-X126)/4)+((Y128-X128)/4)+((Y129-X129)/4)</f>
        <v>0.30625000000000002</v>
      </c>
      <c r="Z125" s="438">
        <f>+(Z126+Z127+Z128+Z129)*E125</f>
        <v>7.4999999999999997E-3</v>
      </c>
      <c r="AA125" s="499">
        <f>+(AA126+AA127+AA128+AA129)</f>
        <v>0.28499999999999998</v>
      </c>
      <c r="AB125" s="132"/>
      <c r="AC125" s="599" t="s">
        <v>1843</v>
      </c>
      <c r="AD125" s="388"/>
      <c r="AE125" s="106"/>
      <c r="AF125" s="106"/>
    </row>
    <row r="126" spans="1:32" ht="118.2" customHeight="1" thickBot="1" x14ac:dyDescent="0.4">
      <c r="A126" s="233"/>
      <c r="B126" s="894" t="s">
        <v>220</v>
      </c>
      <c r="C126" s="894" t="s">
        <v>221</v>
      </c>
      <c r="D126" s="390" t="s">
        <v>222</v>
      </c>
      <c r="E126" s="286">
        <v>0.1</v>
      </c>
      <c r="F126" s="419">
        <v>1</v>
      </c>
      <c r="G126" s="420">
        <v>0</v>
      </c>
      <c r="H126" s="421">
        <v>0</v>
      </c>
      <c r="I126" s="422"/>
      <c r="J126" s="425"/>
      <c r="K126" s="468"/>
      <c r="L126" s="469"/>
      <c r="M126" s="420"/>
      <c r="N126" s="485"/>
      <c r="O126" s="421"/>
      <c r="P126" s="421"/>
      <c r="Q126" s="421"/>
      <c r="R126" s="421">
        <f t="shared" ref="R126:R129" si="119">+N126+O126+P126+Q126</f>
        <v>0</v>
      </c>
      <c r="S126" s="421">
        <f t="shared" ref="S126:S129" si="120">+R126+M126</f>
        <v>0</v>
      </c>
      <c r="T126" s="468"/>
      <c r="U126" s="469"/>
      <c r="V126" s="468"/>
      <c r="W126" s="469"/>
      <c r="X126" s="442"/>
      <c r="Y126" s="510">
        <v>0</v>
      </c>
      <c r="Z126" s="442"/>
      <c r="AA126" s="443"/>
      <c r="AB126" s="139" t="s">
        <v>1775</v>
      </c>
      <c r="AC126" s="704" t="s">
        <v>1797</v>
      </c>
      <c r="AD126" s="704" t="s">
        <v>1860</v>
      </c>
      <c r="AE126" s="106"/>
      <c r="AF126" s="106"/>
    </row>
    <row r="127" spans="1:32" ht="117" customHeight="1" thickBot="1" x14ac:dyDescent="0.4">
      <c r="A127" s="233"/>
      <c r="B127" s="893" t="s">
        <v>223</v>
      </c>
      <c r="C127" s="893" t="s">
        <v>224</v>
      </c>
      <c r="D127" s="390" t="s">
        <v>222</v>
      </c>
      <c r="E127" s="286">
        <v>0.6</v>
      </c>
      <c r="F127" s="419">
        <v>4</v>
      </c>
      <c r="G127" s="420">
        <v>1</v>
      </c>
      <c r="H127" s="421">
        <v>1</v>
      </c>
      <c r="I127" s="422">
        <f>+G127/F127</f>
        <v>0.25</v>
      </c>
      <c r="J127" s="425">
        <f t="shared" ref="J127" si="121">+H127/F127</f>
        <v>0.25</v>
      </c>
      <c r="K127" s="468">
        <f>+(G127/F127)*E127</f>
        <v>0.15</v>
      </c>
      <c r="L127" s="469">
        <f>+(H127/F127)*E127</f>
        <v>0.15</v>
      </c>
      <c r="M127" s="420">
        <v>1</v>
      </c>
      <c r="N127" s="485">
        <v>0.4</v>
      </c>
      <c r="O127" s="481">
        <v>0.1</v>
      </c>
      <c r="P127" s="481">
        <v>0.4</v>
      </c>
      <c r="Q127" s="421"/>
      <c r="R127" s="421">
        <f t="shared" si="119"/>
        <v>0.9</v>
      </c>
      <c r="S127" s="421">
        <f t="shared" si="120"/>
        <v>1.9</v>
      </c>
      <c r="T127" s="468">
        <f>+(M127/G127)</f>
        <v>1</v>
      </c>
      <c r="U127" s="469">
        <f t="shared" ref="U127" si="122">+R127/H127</f>
        <v>0.9</v>
      </c>
      <c r="V127" s="468">
        <f>+T127*E127</f>
        <v>0.6</v>
      </c>
      <c r="W127" s="469">
        <f t="shared" si="110"/>
        <v>0.54</v>
      </c>
      <c r="X127" s="442">
        <f>+M127/F127</f>
        <v>0.25</v>
      </c>
      <c r="Y127" s="443">
        <f>+S127/F127</f>
        <v>0.47499999999999998</v>
      </c>
      <c r="Z127" s="442">
        <f>+X127*E127</f>
        <v>0.15</v>
      </c>
      <c r="AA127" s="443">
        <f>+Y127*E127</f>
        <v>0.28499999999999998</v>
      </c>
      <c r="AB127" s="139" t="s">
        <v>1775</v>
      </c>
      <c r="AC127" s="704" t="s">
        <v>1797</v>
      </c>
      <c r="AD127" s="704" t="s">
        <v>1860</v>
      </c>
      <c r="AE127" s="106"/>
      <c r="AF127" s="106"/>
    </row>
    <row r="128" spans="1:32" ht="90" customHeight="1" thickBot="1" x14ac:dyDescent="0.4">
      <c r="A128" s="233"/>
      <c r="B128" s="894" t="s">
        <v>225</v>
      </c>
      <c r="C128" s="894" t="s">
        <v>226</v>
      </c>
      <c r="D128" s="390" t="s">
        <v>222</v>
      </c>
      <c r="E128" s="286">
        <v>0.2</v>
      </c>
      <c r="F128" s="419">
        <v>1</v>
      </c>
      <c r="G128" s="420">
        <v>0</v>
      </c>
      <c r="H128" s="421">
        <v>0</v>
      </c>
      <c r="I128" s="422"/>
      <c r="J128" s="425"/>
      <c r="K128" s="468"/>
      <c r="L128" s="469"/>
      <c r="M128" s="420"/>
      <c r="N128" s="485"/>
      <c r="O128" s="421"/>
      <c r="P128" s="421"/>
      <c r="Q128" s="421"/>
      <c r="R128" s="421">
        <f t="shared" si="119"/>
        <v>0</v>
      </c>
      <c r="S128" s="421">
        <f t="shared" si="120"/>
        <v>0</v>
      </c>
      <c r="T128" s="468"/>
      <c r="U128" s="469"/>
      <c r="V128" s="468"/>
      <c r="W128" s="469"/>
      <c r="X128" s="442"/>
      <c r="Y128" s="443">
        <v>0</v>
      </c>
      <c r="Z128" s="442"/>
      <c r="AA128" s="443"/>
      <c r="AB128" s="139" t="s">
        <v>1775</v>
      </c>
      <c r="AC128" s="704" t="s">
        <v>1797</v>
      </c>
      <c r="AD128" s="704" t="s">
        <v>1860</v>
      </c>
      <c r="AE128" s="106"/>
      <c r="AF128" s="106"/>
    </row>
    <row r="129" spans="1:32" ht="75.599999999999994" customHeight="1" thickBot="1" x14ac:dyDescent="0.4">
      <c r="A129" s="233"/>
      <c r="B129" s="894" t="s">
        <v>227</v>
      </c>
      <c r="C129" s="894" t="s">
        <v>228</v>
      </c>
      <c r="D129" s="390" t="s">
        <v>222</v>
      </c>
      <c r="E129" s="286">
        <v>0.1</v>
      </c>
      <c r="F129" s="419">
        <v>1</v>
      </c>
      <c r="G129" s="420">
        <v>0</v>
      </c>
      <c r="H129" s="421">
        <v>0</v>
      </c>
      <c r="I129" s="422"/>
      <c r="J129" s="425"/>
      <c r="K129" s="468"/>
      <c r="L129" s="469"/>
      <c r="M129" s="420"/>
      <c r="N129" s="485"/>
      <c r="O129" s="421"/>
      <c r="P129" s="421"/>
      <c r="Q129" s="421"/>
      <c r="R129" s="421">
        <f t="shared" si="119"/>
        <v>0</v>
      </c>
      <c r="S129" s="421">
        <f t="shared" si="120"/>
        <v>0</v>
      </c>
      <c r="T129" s="468"/>
      <c r="U129" s="469"/>
      <c r="V129" s="468"/>
      <c r="W129" s="469"/>
      <c r="X129" s="442"/>
      <c r="Y129" s="511">
        <v>0</v>
      </c>
      <c r="Z129" s="442"/>
      <c r="AA129" s="443"/>
      <c r="AB129" s="139" t="s">
        <v>1775</v>
      </c>
      <c r="AC129" s="704" t="s">
        <v>1797</v>
      </c>
      <c r="AD129" s="704" t="s">
        <v>1860</v>
      </c>
      <c r="AE129" s="106"/>
      <c r="AF129" s="106"/>
    </row>
    <row r="130" spans="1:32" ht="147" customHeight="1" thickBot="1" x14ac:dyDescent="0.45">
      <c r="A130" s="233"/>
      <c r="B130" s="947" t="s">
        <v>229</v>
      </c>
      <c r="C130" s="945"/>
      <c r="D130" s="387"/>
      <c r="E130" s="427">
        <v>0.2</v>
      </c>
      <c r="F130" s="427">
        <f>+E130*V130</f>
        <v>0.13438738197424893</v>
      </c>
      <c r="G130" s="418"/>
      <c r="H130" s="427">
        <f>E130*W130</f>
        <v>8.7845368063931797E-2</v>
      </c>
      <c r="I130" s="412">
        <f>+(I131+I140+I143+I148+I153+I160+I166)/6</f>
        <v>0.3193759495300631</v>
      </c>
      <c r="J130" s="412">
        <f>+(J131+J140+J143+J148+J153+J160+J166)/7</f>
        <v>0.36067241266804129</v>
      </c>
      <c r="K130" s="472">
        <f>+(K131+K140+K143+K148+K153+K160+K166)/6</f>
        <v>0.17451004248744692</v>
      </c>
      <c r="L130" s="472">
        <f>+(L131+L140+L143+L148+L153+L160+L166)/7</f>
        <v>0.31558347607692649</v>
      </c>
      <c r="M130" s="418"/>
      <c r="N130" s="603"/>
      <c r="O130" s="424"/>
      <c r="P130" s="424"/>
      <c r="Q130" s="424"/>
      <c r="R130" s="424"/>
      <c r="S130" s="424"/>
      <c r="T130" s="412">
        <f>+(T131+T140+T143+T148+T153+T160+T166)/6</f>
        <v>0.73629960790547333</v>
      </c>
      <c r="U130" s="412">
        <f>+(U131+U140+U143+U148+U153+U160+U166)/7</f>
        <v>0.45380696450620084</v>
      </c>
      <c r="V130" s="472">
        <f>+V131+V140+V143+V148+V153+V160+V166</f>
        <v>0.67193690987124466</v>
      </c>
      <c r="W130" s="472">
        <f>+W131+W140+W143+W148+W153+W160+W166</f>
        <v>0.43922684031965897</v>
      </c>
      <c r="X130" s="502">
        <f>+(X131+X140+X143+X148+X153+X160+X166)/6</f>
        <v>0.24621230380461609</v>
      </c>
      <c r="Y130" s="516">
        <f>+(Y131+Y140+Y143+Y148+Y153+Y160+Y166)/7</f>
        <v>0.33107511401457984</v>
      </c>
      <c r="Z130" s="515">
        <f>+Z131+Z140+Z143+Z148+Z153+Z160+Z166</f>
        <v>0.18458001541682623</v>
      </c>
      <c r="AA130" s="616">
        <f>+(AA131*E131)+(AA140*E140)+(AA143*E143)+(AA148*E148)+(AA153*E153)+(AA160*E160)+(AA166*E166)</f>
        <v>0.31243562115032475</v>
      </c>
      <c r="AB130" s="145"/>
      <c r="AC130" s="145"/>
      <c r="AD130" s="388"/>
      <c r="AE130" s="106"/>
      <c r="AF130" s="106"/>
    </row>
    <row r="131" spans="1:32" ht="86.25" customHeight="1" thickBot="1" x14ac:dyDescent="0.45">
      <c r="A131" s="233"/>
      <c r="B131" s="946" t="s">
        <v>1540</v>
      </c>
      <c r="C131" s="945"/>
      <c r="D131" s="389"/>
      <c r="E131" s="415">
        <v>0.2</v>
      </c>
      <c r="F131" s="418"/>
      <c r="G131" s="420"/>
      <c r="H131" s="421"/>
      <c r="I131" s="417">
        <f>+AVERAGE(I132:I139)</f>
        <v>0.33333333333333331</v>
      </c>
      <c r="J131" s="417">
        <f>+AVERAGE(J132:J139)</f>
        <v>0.39999999999999997</v>
      </c>
      <c r="K131" s="417">
        <f>+K132+K133+K134+K135+K136+K137+K138+K139</f>
        <v>0.21750000000000003</v>
      </c>
      <c r="L131" s="417">
        <f>+L132+L133+L134+L135+L136+L137+L138+L139</f>
        <v>0.21250000000000002</v>
      </c>
      <c r="M131" s="418"/>
      <c r="N131" s="424"/>
      <c r="O131" s="424"/>
      <c r="P131" s="424"/>
      <c r="Q131" s="424"/>
      <c r="R131" s="424"/>
      <c r="S131" s="424"/>
      <c r="T131" s="483">
        <f>+AVERAGE(T132:T139)</f>
        <v>0.60613098076617389</v>
      </c>
      <c r="U131" s="483">
        <f>+AVERAGE(U132:U139)</f>
        <v>0.42201470519759476</v>
      </c>
      <c r="V131" s="480">
        <f>+(V132+V133+V134+V135+V136+V137+V138+V139)*E131</f>
        <v>9.023690987124465E-2</v>
      </c>
      <c r="W131" s="480">
        <f>+(W132+W133+W134+W135+W136+W137+W138+W139)*E131</f>
        <v>5.6839754758161581E-2</v>
      </c>
      <c r="X131" s="438">
        <f>+AVERAGE(X132:X139)</f>
        <v>0.22653274519154346</v>
      </c>
      <c r="Y131" s="508">
        <f>+AVERAGE(Y132:Y139)</f>
        <v>0.35596527565563141</v>
      </c>
      <c r="Z131" s="438">
        <f>+(Z132+Z133+Z134+Z135+Z136+Z137+Z138+Z139)*E131</f>
        <v>3.155922746781116E-2</v>
      </c>
      <c r="AA131" s="499">
        <f>+(AA132+AA133+AA134+AA135+AA136+AA137+AA138+AA139)</f>
        <v>0.24759583078675776</v>
      </c>
      <c r="AB131" s="132"/>
      <c r="AC131" s="388"/>
      <c r="AD131" s="388"/>
      <c r="AE131" s="106"/>
      <c r="AF131" s="106"/>
    </row>
    <row r="132" spans="1:32" ht="72.599999999999994" customHeight="1" thickBot="1" x14ac:dyDescent="0.4">
      <c r="A132" s="233"/>
      <c r="B132" s="894" t="s">
        <v>230</v>
      </c>
      <c r="C132" s="894" t="s">
        <v>231</v>
      </c>
      <c r="D132" s="390" t="s">
        <v>58</v>
      </c>
      <c r="E132" s="286">
        <v>0.15</v>
      </c>
      <c r="F132" s="419">
        <v>16776</v>
      </c>
      <c r="G132" s="420">
        <v>4194</v>
      </c>
      <c r="H132" s="421">
        <v>4194</v>
      </c>
      <c r="I132" s="422">
        <f t="shared" ref="I132:I139" si="123">+G132/F132</f>
        <v>0.25</v>
      </c>
      <c r="J132" s="425">
        <f t="shared" ref="J132:J170" si="124">+H132/F132</f>
        <v>0.25</v>
      </c>
      <c r="K132" s="422">
        <f t="shared" ref="K132:K139" si="125">+(G132/F132)*E132</f>
        <v>3.7499999999999999E-2</v>
      </c>
      <c r="L132" s="425">
        <f t="shared" ref="L132:L170" si="126">+(H132/F132)*E132</f>
        <v>3.7499999999999999E-2</v>
      </c>
      <c r="M132" s="420">
        <v>3146</v>
      </c>
      <c r="N132" s="485">
        <v>2976</v>
      </c>
      <c r="O132" s="482">
        <v>3032</v>
      </c>
      <c r="P132" s="481">
        <v>3146</v>
      </c>
      <c r="Q132" s="421"/>
      <c r="R132" s="421">
        <f t="shared" ref="R132:R170" si="127">+N132+O132+P132+Q132</f>
        <v>9154</v>
      </c>
      <c r="S132" s="421">
        <f>+M132+R132</f>
        <v>12300</v>
      </c>
      <c r="T132" s="422">
        <f>+(M132/G132)</f>
        <v>0.75011921793037672</v>
      </c>
      <c r="U132" s="658">
        <f>+((N132/H132)*0.25)+((O132/H132)*0.25)+((P132/H132)*0.25)</f>
        <v>0.54566046733428708</v>
      </c>
      <c r="V132" s="422">
        <f t="shared" ref="V132:V139" si="128">+T132*E132</f>
        <v>0.11251788268955651</v>
      </c>
      <c r="W132" s="425">
        <f>+U132*E132</f>
        <v>8.1849070100143057E-2</v>
      </c>
      <c r="X132" s="513">
        <f>+M132/F132</f>
        <v>0.18752980448259418</v>
      </c>
      <c r="Y132" s="512">
        <f>X132 + ((N132/4194)*0.0625)+((O132/4194)*0.0625)+((P132/4194)*0.0625)</f>
        <v>0.32394492131616598</v>
      </c>
      <c r="Z132" s="442">
        <f>+X132*E132</f>
        <v>2.8129470672389127E-2</v>
      </c>
      <c r="AA132" s="443">
        <f>+Y132*E132</f>
        <v>4.8591738197424898E-2</v>
      </c>
      <c r="AB132" s="139" t="s">
        <v>1775</v>
      </c>
      <c r="AC132" s="598" t="s">
        <v>1809</v>
      </c>
      <c r="AD132" s="704" t="s">
        <v>1860</v>
      </c>
      <c r="AE132" s="106"/>
      <c r="AF132" s="106"/>
    </row>
    <row r="133" spans="1:32" ht="72.599999999999994" customHeight="1" thickBot="1" x14ac:dyDescent="0.4">
      <c r="A133" s="233"/>
      <c r="B133" s="894" t="s">
        <v>232</v>
      </c>
      <c r="C133" s="894" t="s">
        <v>233</v>
      </c>
      <c r="D133" s="390" t="s">
        <v>58</v>
      </c>
      <c r="E133" s="286">
        <v>0.15</v>
      </c>
      <c r="F133" s="419">
        <v>22724</v>
      </c>
      <c r="G133" s="420">
        <v>5681</v>
      </c>
      <c r="H133" s="421">
        <v>5681</v>
      </c>
      <c r="I133" s="422">
        <f t="shared" si="123"/>
        <v>0.25</v>
      </c>
      <c r="J133" s="425">
        <f t="shared" si="124"/>
        <v>0.25</v>
      </c>
      <c r="K133" s="422">
        <f t="shared" si="125"/>
        <v>3.7499999999999999E-2</v>
      </c>
      <c r="L133" s="425">
        <f t="shared" si="126"/>
        <v>3.7499999999999999E-2</v>
      </c>
      <c r="M133" s="420">
        <v>5681</v>
      </c>
      <c r="N133" s="485">
        <v>5455</v>
      </c>
      <c r="O133" s="482">
        <v>5455</v>
      </c>
      <c r="P133" s="481">
        <v>5681</v>
      </c>
      <c r="Q133" s="421"/>
      <c r="R133" s="421">
        <f t="shared" si="127"/>
        <v>16591</v>
      </c>
      <c r="S133" s="421">
        <f t="shared" ref="S133:S170" si="129">+R133+M133</f>
        <v>22272</v>
      </c>
      <c r="T133" s="422">
        <f t="shared" ref="T133:T139" si="130">+(M133/G133)</f>
        <v>1</v>
      </c>
      <c r="U133" s="658">
        <f>+((N133/H133)*0.25)+((O133/H133)*0.25)+((P133/H133)*0.25)</f>
        <v>0.73010913571554303</v>
      </c>
      <c r="V133" s="422">
        <f t="shared" si="128"/>
        <v>0.15</v>
      </c>
      <c r="W133" s="425">
        <f t="shared" ref="W133:W141" si="131">+U133*E133</f>
        <v>0.10951637035733146</v>
      </c>
      <c r="X133" s="442">
        <f t="shared" ref="X133:X139" si="132">+M133/F133</f>
        <v>0.25</v>
      </c>
      <c r="Y133" s="504">
        <f>+X133+((N133/H133)*0.0625)+((O133/H133)*0.0625)+((P133/H133)*0.0625)</f>
        <v>0.43252728392888573</v>
      </c>
      <c r="Z133" s="442">
        <f t="shared" ref="Z133:Z139" si="133">+X133*E133</f>
        <v>3.7499999999999999E-2</v>
      </c>
      <c r="AA133" s="443">
        <f>+Y133*E133</f>
        <v>6.487909258933286E-2</v>
      </c>
      <c r="AB133" s="139" t="s">
        <v>1775</v>
      </c>
      <c r="AC133" s="598" t="s">
        <v>1809</v>
      </c>
      <c r="AD133" s="704" t="s">
        <v>1860</v>
      </c>
      <c r="AE133" s="106"/>
      <c r="AF133" s="106"/>
    </row>
    <row r="134" spans="1:32" ht="72.599999999999994" customHeight="1" thickBot="1" x14ac:dyDescent="0.4">
      <c r="A134" s="233"/>
      <c r="B134" s="894" t="s">
        <v>234</v>
      </c>
      <c r="C134" s="894" t="s">
        <v>235</v>
      </c>
      <c r="D134" s="390" t="s">
        <v>58</v>
      </c>
      <c r="E134" s="286">
        <v>0.1</v>
      </c>
      <c r="F134" s="419">
        <f>150*4</f>
        <v>600</v>
      </c>
      <c r="G134" s="420">
        <v>150</v>
      </c>
      <c r="H134" s="421">
        <v>150</v>
      </c>
      <c r="I134" s="422">
        <f t="shared" si="123"/>
        <v>0.25</v>
      </c>
      <c r="J134" s="425">
        <f t="shared" si="124"/>
        <v>0.25</v>
      </c>
      <c r="K134" s="422">
        <f t="shared" si="125"/>
        <v>2.5000000000000001E-2</v>
      </c>
      <c r="L134" s="425">
        <f t="shared" si="126"/>
        <v>2.5000000000000001E-2</v>
      </c>
      <c r="M134" s="420">
        <v>133</v>
      </c>
      <c r="N134" s="485">
        <v>135</v>
      </c>
      <c r="O134" s="482">
        <v>136</v>
      </c>
      <c r="P134" s="481">
        <v>136</v>
      </c>
      <c r="Q134" s="421"/>
      <c r="R134" s="421">
        <f t="shared" si="127"/>
        <v>407</v>
      </c>
      <c r="S134" s="421">
        <f t="shared" si="129"/>
        <v>540</v>
      </c>
      <c r="T134" s="422">
        <f t="shared" si="130"/>
        <v>0.88666666666666671</v>
      </c>
      <c r="U134" s="459">
        <f>+((O134/150)*0.25)+((P134/150)*0.25)+((N134/150)*0.25)</f>
        <v>0.67833333333333334</v>
      </c>
      <c r="V134" s="422">
        <f t="shared" si="128"/>
        <v>8.8666666666666671E-2</v>
      </c>
      <c r="W134" s="425">
        <f t="shared" si="131"/>
        <v>6.7833333333333343E-2</v>
      </c>
      <c r="X134" s="442">
        <f t="shared" si="132"/>
        <v>0.22166666666666668</v>
      </c>
      <c r="Y134" s="504">
        <f>+X134+((N134/150)*0.0625)+ ((O134/150)*0.0625)+((P134/150)*0.0625)</f>
        <v>0.39124999999999999</v>
      </c>
      <c r="Z134" s="442">
        <f t="shared" si="133"/>
        <v>2.2166666666666668E-2</v>
      </c>
      <c r="AA134" s="443">
        <f>+Y134*E134</f>
        <v>3.9125E-2</v>
      </c>
      <c r="AB134" s="139" t="s">
        <v>1775</v>
      </c>
      <c r="AC134" s="704" t="s">
        <v>1797</v>
      </c>
      <c r="AD134" s="704" t="s">
        <v>1860</v>
      </c>
      <c r="AE134" s="106"/>
      <c r="AF134" s="106"/>
    </row>
    <row r="135" spans="1:32" ht="74.400000000000006" customHeight="1" thickBot="1" x14ac:dyDescent="0.4">
      <c r="A135" s="233"/>
      <c r="B135" s="894" t="s">
        <v>236</v>
      </c>
      <c r="C135" s="894" t="s">
        <v>237</v>
      </c>
      <c r="D135" s="390" t="s">
        <v>58</v>
      </c>
      <c r="E135" s="286">
        <v>0.25</v>
      </c>
      <c r="F135" s="419">
        <v>4</v>
      </c>
      <c r="G135" s="420">
        <v>1</v>
      </c>
      <c r="H135" s="421">
        <v>1</v>
      </c>
      <c r="I135" s="422">
        <f t="shared" si="123"/>
        <v>0.25</v>
      </c>
      <c r="J135" s="425">
        <f t="shared" si="124"/>
        <v>0.25</v>
      </c>
      <c r="K135" s="422">
        <f t="shared" si="125"/>
        <v>6.25E-2</v>
      </c>
      <c r="L135" s="425">
        <f t="shared" si="126"/>
        <v>6.25E-2</v>
      </c>
      <c r="M135" s="420">
        <v>0</v>
      </c>
      <c r="N135" s="485">
        <v>0</v>
      </c>
      <c r="O135" s="421">
        <v>0</v>
      </c>
      <c r="P135" s="481">
        <v>0</v>
      </c>
      <c r="Q135" s="421"/>
      <c r="R135" s="421">
        <f t="shared" si="127"/>
        <v>0</v>
      </c>
      <c r="S135" s="421">
        <f t="shared" si="129"/>
        <v>0</v>
      </c>
      <c r="T135" s="422">
        <f t="shared" si="130"/>
        <v>0</v>
      </c>
      <c r="U135" s="425">
        <f t="shared" ref="U135:U151" si="134">+R135/H135</f>
        <v>0</v>
      </c>
      <c r="V135" s="422">
        <f t="shared" si="128"/>
        <v>0</v>
      </c>
      <c r="W135" s="425">
        <f t="shared" si="131"/>
        <v>0</v>
      </c>
      <c r="X135" s="442">
        <f t="shared" si="132"/>
        <v>0</v>
      </c>
      <c r="Y135" s="443">
        <f t="shared" ref="Y135:Y170" si="135">+S135/F135</f>
        <v>0</v>
      </c>
      <c r="Z135" s="442">
        <f t="shared" si="133"/>
        <v>0</v>
      </c>
      <c r="AA135" s="443">
        <f>+Y135*E135</f>
        <v>0</v>
      </c>
      <c r="AB135" s="139" t="s">
        <v>1775</v>
      </c>
      <c r="AC135" s="704" t="s">
        <v>1797</v>
      </c>
      <c r="AD135" s="704" t="s">
        <v>1860</v>
      </c>
      <c r="AE135" s="106"/>
      <c r="AF135" s="106"/>
    </row>
    <row r="136" spans="1:32" ht="82.95" customHeight="1" thickBot="1" x14ac:dyDescent="0.4">
      <c r="A136" s="233"/>
      <c r="B136" s="894" t="s">
        <v>238</v>
      </c>
      <c r="C136" s="894" t="s">
        <v>239</v>
      </c>
      <c r="D136" s="390" t="s">
        <v>58</v>
      </c>
      <c r="E136" s="286">
        <v>0.2</v>
      </c>
      <c r="F136" s="419">
        <v>1</v>
      </c>
      <c r="G136" s="420">
        <v>0</v>
      </c>
      <c r="H136" s="421">
        <v>0</v>
      </c>
      <c r="I136" s="422"/>
      <c r="J136" s="425"/>
      <c r="K136" s="422"/>
      <c r="L136" s="425"/>
      <c r="M136" s="420"/>
      <c r="N136" s="485"/>
      <c r="O136" s="421"/>
      <c r="P136" s="481"/>
      <c r="Q136" s="421"/>
      <c r="R136" s="421">
        <f t="shared" si="127"/>
        <v>0</v>
      </c>
      <c r="S136" s="421">
        <f t="shared" si="129"/>
        <v>0</v>
      </c>
      <c r="T136" s="422"/>
      <c r="U136" s="425"/>
      <c r="V136" s="422"/>
      <c r="W136" s="425"/>
      <c r="X136" s="442"/>
      <c r="Y136" s="443">
        <v>0</v>
      </c>
      <c r="Z136" s="442">
        <v>0</v>
      </c>
      <c r="AA136" s="443">
        <v>0</v>
      </c>
      <c r="AB136" s="139" t="s">
        <v>1775</v>
      </c>
      <c r="AC136" s="704" t="s">
        <v>1797</v>
      </c>
      <c r="AD136" s="704" t="s">
        <v>1860</v>
      </c>
      <c r="AE136" s="106"/>
      <c r="AF136" s="106"/>
    </row>
    <row r="137" spans="1:32" ht="80.400000000000006" customHeight="1" thickBot="1" x14ac:dyDescent="0.4">
      <c r="A137" s="233"/>
      <c r="B137" s="894" t="s">
        <v>240</v>
      </c>
      <c r="C137" s="894" t="s">
        <v>241</v>
      </c>
      <c r="D137" s="390" t="s">
        <v>58</v>
      </c>
      <c r="E137" s="286">
        <v>0.1</v>
      </c>
      <c r="F137" s="419">
        <v>10</v>
      </c>
      <c r="G137" s="420">
        <v>4</v>
      </c>
      <c r="H137" s="421">
        <v>4</v>
      </c>
      <c r="I137" s="422">
        <f t="shared" si="123"/>
        <v>0.4</v>
      </c>
      <c r="J137" s="425">
        <f t="shared" si="124"/>
        <v>0.4</v>
      </c>
      <c r="K137" s="422">
        <f t="shared" si="125"/>
        <v>4.0000000000000008E-2</v>
      </c>
      <c r="L137" s="425">
        <f t="shared" si="126"/>
        <v>4.0000000000000008E-2</v>
      </c>
      <c r="M137" s="420">
        <v>7</v>
      </c>
      <c r="N137" s="485">
        <v>0</v>
      </c>
      <c r="O137" s="485">
        <v>0</v>
      </c>
      <c r="P137" s="481">
        <v>0</v>
      </c>
      <c r="Q137" s="421"/>
      <c r="R137" s="421">
        <f t="shared" si="127"/>
        <v>0</v>
      </c>
      <c r="S137" s="421">
        <f t="shared" si="129"/>
        <v>7</v>
      </c>
      <c r="T137" s="422">
        <v>1</v>
      </c>
      <c r="U137" s="425">
        <f t="shared" si="134"/>
        <v>0</v>
      </c>
      <c r="V137" s="422">
        <f t="shared" si="128"/>
        <v>0.1</v>
      </c>
      <c r="W137" s="425">
        <f t="shared" si="131"/>
        <v>0</v>
      </c>
      <c r="X137" s="442">
        <f t="shared" si="132"/>
        <v>0.7</v>
      </c>
      <c r="Y137" s="443">
        <f t="shared" si="135"/>
        <v>0.7</v>
      </c>
      <c r="Z137" s="442">
        <f>+X137*E137</f>
        <v>6.9999999999999993E-2</v>
      </c>
      <c r="AA137" s="443">
        <f>+Y137*E137</f>
        <v>6.9999999999999993E-2</v>
      </c>
      <c r="AB137" s="139" t="s">
        <v>1775</v>
      </c>
      <c r="AC137" s="704" t="s">
        <v>1797</v>
      </c>
      <c r="AD137" s="704" t="s">
        <v>1860</v>
      </c>
      <c r="AE137" s="106"/>
      <c r="AF137" s="106"/>
    </row>
    <row r="138" spans="1:32" ht="149.4" customHeight="1" thickBot="1" x14ac:dyDescent="0.4">
      <c r="A138" s="233"/>
      <c r="B138" s="894" t="s">
        <v>242</v>
      </c>
      <c r="C138" s="894" t="s">
        <v>243</v>
      </c>
      <c r="D138" s="390" t="s">
        <v>58</v>
      </c>
      <c r="E138" s="286">
        <v>2.5000000000000001E-2</v>
      </c>
      <c r="F138" s="419">
        <v>1</v>
      </c>
      <c r="G138" s="420">
        <v>0</v>
      </c>
      <c r="H138" s="421">
        <v>1</v>
      </c>
      <c r="I138" s="422"/>
      <c r="J138" s="425">
        <f t="shared" si="124"/>
        <v>1</v>
      </c>
      <c r="K138" s="422"/>
      <c r="L138" s="425"/>
      <c r="M138" s="420"/>
      <c r="N138" s="485">
        <v>0</v>
      </c>
      <c r="O138" s="485">
        <v>0</v>
      </c>
      <c r="P138" s="481">
        <v>1</v>
      </c>
      <c r="Q138" s="421"/>
      <c r="R138" s="421">
        <f t="shared" si="127"/>
        <v>1</v>
      </c>
      <c r="S138" s="421">
        <f t="shared" si="129"/>
        <v>1</v>
      </c>
      <c r="T138" s="422"/>
      <c r="U138" s="425">
        <f t="shared" si="134"/>
        <v>1</v>
      </c>
      <c r="V138" s="422"/>
      <c r="W138" s="425">
        <f t="shared" si="131"/>
        <v>2.5000000000000001E-2</v>
      </c>
      <c r="X138" s="442"/>
      <c r="Y138" s="443">
        <f t="shared" si="135"/>
        <v>1</v>
      </c>
      <c r="Z138" s="442">
        <v>0</v>
      </c>
      <c r="AA138" s="443">
        <f>+Y138*E138</f>
        <v>2.5000000000000001E-2</v>
      </c>
      <c r="AB138" s="139" t="s">
        <v>1775</v>
      </c>
      <c r="AC138" s="704" t="s">
        <v>1797</v>
      </c>
      <c r="AD138" s="704" t="s">
        <v>1860</v>
      </c>
      <c r="AE138" s="106"/>
      <c r="AF138" s="106"/>
    </row>
    <row r="139" spans="1:32" ht="133.19999999999999" customHeight="1" thickBot="1" x14ac:dyDescent="0.4">
      <c r="A139" s="233"/>
      <c r="B139" s="894" t="s">
        <v>244</v>
      </c>
      <c r="C139" s="894" t="s">
        <v>245</v>
      </c>
      <c r="D139" s="390" t="s">
        <v>58</v>
      </c>
      <c r="E139" s="286">
        <v>2.5000000000000001E-2</v>
      </c>
      <c r="F139" s="419">
        <v>1</v>
      </c>
      <c r="G139" s="420">
        <v>0.6</v>
      </c>
      <c r="H139" s="421">
        <v>0.4</v>
      </c>
      <c r="I139" s="422">
        <f t="shared" si="123"/>
        <v>0.6</v>
      </c>
      <c r="J139" s="425">
        <f t="shared" si="124"/>
        <v>0.4</v>
      </c>
      <c r="K139" s="422">
        <f t="shared" si="125"/>
        <v>1.4999999999999999E-2</v>
      </c>
      <c r="L139" s="425">
        <f t="shared" si="126"/>
        <v>1.0000000000000002E-2</v>
      </c>
      <c r="M139" s="420">
        <v>0</v>
      </c>
      <c r="N139" s="485">
        <v>0</v>
      </c>
      <c r="O139" s="485">
        <v>0</v>
      </c>
      <c r="P139" s="481">
        <v>0</v>
      </c>
      <c r="Q139" s="421"/>
      <c r="R139" s="421">
        <f t="shared" si="127"/>
        <v>0</v>
      </c>
      <c r="S139" s="421">
        <f t="shared" si="129"/>
        <v>0</v>
      </c>
      <c r="T139" s="422">
        <f t="shared" si="130"/>
        <v>0</v>
      </c>
      <c r="U139" s="425">
        <f t="shared" si="134"/>
        <v>0</v>
      </c>
      <c r="V139" s="422">
        <f t="shared" si="128"/>
        <v>0</v>
      </c>
      <c r="W139" s="425">
        <f t="shared" si="131"/>
        <v>0</v>
      </c>
      <c r="X139" s="442">
        <f t="shared" si="132"/>
        <v>0</v>
      </c>
      <c r="Y139" s="511">
        <f t="shared" si="135"/>
        <v>0</v>
      </c>
      <c r="Z139" s="442">
        <f t="shared" si="133"/>
        <v>0</v>
      </c>
      <c r="AA139" s="443">
        <f>+Y139*E139</f>
        <v>0</v>
      </c>
      <c r="AB139" s="139" t="s">
        <v>1775</v>
      </c>
      <c r="AC139" s="704" t="s">
        <v>1797</v>
      </c>
      <c r="AD139" s="704" t="s">
        <v>1860</v>
      </c>
      <c r="AE139" s="106"/>
      <c r="AF139" s="106"/>
    </row>
    <row r="140" spans="1:32" ht="114.75" customHeight="1" thickBot="1" x14ac:dyDescent="0.45">
      <c r="A140" s="233"/>
      <c r="B140" s="946" t="s">
        <v>1541</v>
      </c>
      <c r="C140" s="945"/>
      <c r="D140" s="389"/>
      <c r="E140" s="415">
        <v>0.2</v>
      </c>
      <c r="F140" s="418"/>
      <c r="G140" s="418"/>
      <c r="H140" s="424"/>
      <c r="I140" s="417">
        <f>+AVERAGE(I141:I142)</f>
        <v>0.23392236384704518</v>
      </c>
      <c r="J140" s="417">
        <f>+AVERAGE(J141:J142)</f>
        <v>0.25535921205098494</v>
      </c>
      <c r="K140" s="417">
        <f>+K141+K142</f>
        <v>0.22106025492468134</v>
      </c>
      <c r="L140" s="417">
        <f>+L141+L142</f>
        <v>0.2596465816917729</v>
      </c>
      <c r="M140" s="418"/>
      <c r="N140" s="424"/>
      <c r="O140" s="424"/>
      <c r="P140" s="424"/>
      <c r="Q140" s="424"/>
      <c r="R140" s="421"/>
      <c r="S140" s="421"/>
      <c r="T140" s="483">
        <f>+AVERAGE(T141:T142)</f>
        <v>0.5</v>
      </c>
      <c r="U140" s="483">
        <f>+AVERAGE(U141:U142)</f>
        <v>0.26500000000000001</v>
      </c>
      <c r="V140" s="483">
        <f>+(V141+V142)*E140</f>
        <v>0.18000000000000002</v>
      </c>
      <c r="W140" s="483">
        <f>+(W141+W142)*E140</f>
        <v>9.5400000000000013E-2</v>
      </c>
      <c r="X140" s="438">
        <f>+AVERAGE(X141:X142)</f>
        <v>0.13789107763615296</v>
      </c>
      <c r="Y140" s="508">
        <f>+AVERAGE(Y141:Y142)</f>
        <v>0.20698146002317497</v>
      </c>
      <c r="Z140" s="438">
        <f>+(Z141+Z142)*E140</f>
        <v>4.9640787949015074E-2</v>
      </c>
      <c r="AA140" s="499">
        <f>+(AA141+AA142)</f>
        <v>0.37256662804171498</v>
      </c>
      <c r="AB140" s="132"/>
      <c r="AC140" s="388"/>
      <c r="AD140" s="388"/>
      <c r="AE140" s="106"/>
      <c r="AF140" s="106"/>
    </row>
    <row r="141" spans="1:32" ht="120" customHeight="1" thickBot="1" x14ac:dyDescent="0.4">
      <c r="A141" s="233"/>
      <c r="B141" s="894" t="s">
        <v>246</v>
      </c>
      <c r="C141" s="894" t="s">
        <v>247</v>
      </c>
      <c r="D141" s="390" t="s">
        <v>58</v>
      </c>
      <c r="E141" s="286">
        <v>0.9</v>
      </c>
      <c r="F141" s="419">
        <v>3452</v>
      </c>
      <c r="G141" s="420">
        <v>752</v>
      </c>
      <c r="H141" s="421">
        <v>900</v>
      </c>
      <c r="I141" s="422">
        <f>+G141/F141</f>
        <v>0.21784472769409038</v>
      </c>
      <c r="J141" s="425">
        <f t="shared" si="124"/>
        <v>0.26071842410196988</v>
      </c>
      <c r="K141" s="422">
        <f>+(G141/F141)*E141</f>
        <v>0.19606025492468135</v>
      </c>
      <c r="L141" s="425">
        <f t="shared" si="126"/>
        <v>0.23464658169177291</v>
      </c>
      <c r="M141" s="420">
        <v>952</v>
      </c>
      <c r="N141" s="485">
        <v>0</v>
      </c>
      <c r="O141" s="481">
        <v>348</v>
      </c>
      <c r="P141" s="481">
        <v>129</v>
      </c>
      <c r="Q141" s="421"/>
      <c r="R141" s="421">
        <f t="shared" si="127"/>
        <v>477</v>
      </c>
      <c r="S141" s="421">
        <f t="shared" si="129"/>
        <v>1429</v>
      </c>
      <c r="T141" s="422">
        <v>1</v>
      </c>
      <c r="U141" s="459">
        <f t="shared" si="134"/>
        <v>0.53</v>
      </c>
      <c r="V141" s="474">
        <f>+T141*E141</f>
        <v>0.9</v>
      </c>
      <c r="W141" s="459">
        <f t="shared" si="131"/>
        <v>0.47700000000000004</v>
      </c>
      <c r="X141" s="503">
        <f>+M141/F141</f>
        <v>0.27578215527230593</v>
      </c>
      <c r="Y141" s="512">
        <f t="shared" si="135"/>
        <v>0.41396292004634994</v>
      </c>
      <c r="Z141" s="503">
        <f>+X141*E141</f>
        <v>0.24820393974507535</v>
      </c>
      <c r="AA141" s="504">
        <f>+Y141*E141</f>
        <v>0.37256662804171498</v>
      </c>
      <c r="AB141" s="139" t="s">
        <v>1775</v>
      </c>
      <c r="AC141" s="704" t="s">
        <v>1797</v>
      </c>
      <c r="AD141" s="704" t="s">
        <v>1860</v>
      </c>
      <c r="AE141" s="106"/>
      <c r="AF141" s="106"/>
    </row>
    <row r="142" spans="1:32" ht="102" customHeight="1" thickBot="1" x14ac:dyDescent="0.4">
      <c r="A142" s="233"/>
      <c r="B142" s="894" t="s">
        <v>248</v>
      </c>
      <c r="C142" s="894" t="s">
        <v>249</v>
      </c>
      <c r="D142" s="390" t="s">
        <v>58</v>
      </c>
      <c r="E142" s="286">
        <v>0.1</v>
      </c>
      <c r="F142" s="419">
        <v>4</v>
      </c>
      <c r="G142" s="420">
        <v>1</v>
      </c>
      <c r="H142" s="421">
        <v>1</v>
      </c>
      <c r="I142" s="422">
        <f>+G142/F142</f>
        <v>0.25</v>
      </c>
      <c r="J142" s="425">
        <f t="shared" si="124"/>
        <v>0.25</v>
      </c>
      <c r="K142" s="422">
        <f>+(G142/F142)*E142</f>
        <v>2.5000000000000001E-2</v>
      </c>
      <c r="L142" s="425">
        <f t="shared" si="126"/>
        <v>2.5000000000000001E-2</v>
      </c>
      <c r="M142" s="420">
        <v>0</v>
      </c>
      <c r="N142" s="485">
        <v>0</v>
      </c>
      <c r="O142" s="481">
        <v>0</v>
      </c>
      <c r="P142" s="481">
        <v>0</v>
      </c>
      <c r="Q142" s="421"/>
      <c r="R142" s="421">
        <f t="shared" si="127"/>
        <v>0</v>
      </c>
      <c r="S142" s="421">
        <f t="shared" si="129"/>
        <v>0</v>
      </c>
      <c r="T142" s="422">
        <f>+(M142/G142)</f>
        <v>0</v>
      </c>
      <c r="U142" s="459">
        <f t="shared" si="134"/>
        <v>0</v>
      </c>
      <c r="V142" s="474">
        <f>+T142*E142</f>
        <v>0</v>
      </c>
      <c r="W142" s="459">
        <f>+U142*E142</f>
        <v>0</v>
      </c>
      <c r="X142" s="503">
        <f>+M142/F142</f>
        <v>0</v>
      </c>
      <c r="Y142" s="506">
        <f t="shared" si="135"/>
        <v>0</v>
      </c>
      <c r="Z142" s="503">
        <f>+X142*E142</f>
        <v>0</v>
      </c>
      <c r="AA142" s="504">
        <f>+Y142*E142</f>
        <v>0</v>
      </c>
      <c r="AB142" s="139" t="s">
        <v>1775</v>
      </c>
      <c r="AC142" s="704" t="s">
        <v>1797</v>
      </c>
      <c r="AD142" s="704" t="s">
        <v>1860</v>
      </c>
      <c r="AE142" s="106"/>
      <c r="AF142" s="106"/>
    </row>
    <row r="143" spans="1:32" ht="72" customHeight="1" thickBot="1" x14ac:dyDescent="0.45">
      <c r="A143" s="233"/>
      <c r="B143" s="946" t="s">
        <v>1542</v>
      </c>
      <c r="C143" s="945"/>
      <c r="D143" s="389"/>
      <c r="E143" s="415">
        <v>0.1</v>
      </c>
      <c r="F143" s="419"/>
      <c r="G143" s="418"/>
      <c r="H143" s="424"/>
      <c r="I143" s="417">
        <f>+AVERAGE(I144:I147)</f>
        <v>0.25</v>
      </c>
      <c r="J143" s="417">
        <f>+AVERAGE(J144:J147)</f>
        <v>0.27083333333333337</v>
      </c>
      <c r="K143" s="417">
        <f>+K144+K145+K146+K147</f>
        <v>0.25</v>
      </c>
      <c r="L143" s="417">
        <f>+L144+L145+L146+L147</f>
        <v>0.28000000000000003</v>
      </c>
      <c r="M143" s="418"/>
      <c r="N143" s="424"/>
      <c r="O143" s="424"/>
      <c r="P143" s="424"/>
      <c r="Q143" s="424"/>
      <c r="R143" s="424"/>
      <c r="S143" s="424"/>
      <c r="T143" s="483">
        <f>+AVERAGE(T144:T147)</f>
        <v>0.81166666666666665</v>
      </c>
      <c r="U143" s="483">
        <f>+AVERAGE(U144:U147)</f>
        <v>0.24117647058823527</v>
      </c>
      <c r="V143" s="483">
        <f>+(V144+V145+V146+V147)*E143</f>
        <v>7.9200000000000007E-2</v>
      </c>
      <c r="W143" s="483">
        <f>+(W144+W145+W146+W147)*E143</f>
        <v>2.6941176470588236E-2</v>
      </c>
      <c r="X143" s="438">
        <f>+AVERAGE(X144:X147)</f>
        <v>0.20291666666666666</v>
      </c>
      <c r="Y143" s="508">
        <f>+AVERAGE(Y144:Y147)</f>
        <v>0.26958333333333334</v>
      </c>
      <c r="Z143" s="438">
        <f>+(Z144+Z145+Z146+Z147)*E143</f>
        <v>1.9800000000000002E-2</v>
      </c>
      <c r="AA143" s="499">
        <f>+(AA144+AA145+AA146+AA147)</f>
        <v>0.27300000000000002</v>
      </c>
      <c r="AB143" s="132"/>
      <c r="AC143" s="388"/>
      <c r="AD143" s="388"/>
      <c r="AE143" s="106"/>
      <c r="AF143" s="106"/>
    </row>
    <row r="144" spans="1:32" ht="84" customHeight="1" thickBot="1" x14ac:dyDescent="0.4">
      <c r="A144" s="233"/>
      <c r="B144" s="894" t="s">
        <v>250</v>
      </c>
      <c r="C144" s="894" t="s">
        <v>251</v>
      </c>
      <c r="D144" s="390" t="s">
        <v>58</v>
      </c>
      <c r="E144" s="286">
        <v>0.4</v>
      </c>
      <c r="F144" s="419">
        <v>200</v>
      </c>
      <c r="G144" s="420">
        <v>50</v>
      </c>
      <c r="H144" s="421">
        <v>60</v>
      </c>
      <c r="I144" s="422">
        <f>+G144/F144</f>
        <v>0.25</v>
      </c>
      <c r="J144" s="425">
        <f t="shared" si="124"/>
        <v>0.3</v>
      </c>
      <c r="K144" s="422">
        <f>+(G144/F144)*E144</f>
        <v>0.1</v>
      </c>
      <c r="L144" s="425">
        <f t="shared" si="126"/>
        <v>0.12</v>
      </c>
      <c r="M144" s="420">
        <v>39</v>
      </c>
      <c r="N144" s="485">
        <v>0</v>
      </c>
      <c r="O144" s="481">
        <v>0</v>
      </c>
      <c r="P144" s="481">
        <v>0</v>
      </c>
      <c r="Q144" s="421"/>
      <c r="R144" s="421">
        <f t="shared" si="127"/>
        <v>0</v>
      </c>
      <c r="S144" s="421">
        <f t="shared" si="129"/>
        <v>39</v>
      </c>
      <c r="T144" s="422">
        <f>+(M144/G144)</f>
        <v>0.78</v>
      </c>
      <c r="U144" s="459">
        <f t="shared" si="134"/>
        <v>0</v>
      </c>
      <c r="V144" s="474">
        <f>+T144*E144</f>
        <v>0.31200000000000006</v>
      </c>
      <c r="W144" s="459">
        <f t="shared" ref="W144:W170" si="136">+U144*E144</f>
        <v>0</v>
      </c>
      <c r="X144" s="503">
        <f>+M144/F144</f>
        <v>0.19500000000000001</v>
      </c>
      <c r="Y144" s="512">
        <f t="shared" si="135"/>
        <v>0.19500000000000001</v>
      </c>
      <c r="Z144" s="503">
        <f>+X144*E144</f>
        <v>7.8000000000000014E-2</v>
      </c>
      <c r="AA144" s="504">
        <f>+Y144*E144</f>
        <v>7.8000000000000014E-2</v>
      </c>
      <c r="AB144" s="139" t="s">
        <v>1775</v>
      </c>
      <c r="AC144" s="704" t="s">
        <v>1797</v>
      </c>
      <c r="AD144" s="704" t="s">
        <v>1860</v>
      </c>
      <c r="AE144" s="106"/>
      <c r="AF144" s="106"/>
    </row>
    <row r="145" spans="1:32" ht="101.4" customHeight="1" thickBot="1" x14ac:dyDescent="0.4">
      <c r="A145" s="233"/>
      <c r="B145" s="894" t="s">
        <v>252</v>
      </c>
      <c r="C145" s="894" t="s">
        <v>253</v>
      </c>
      <c r="D145" s="390" t="s">
        <v>58</v>
      </c>
      <c r="E145" s="286">
        <v>0.1</v>
      </c>
      <c r="F145" s="419">
        <v>4</v>
      </c>
      <c r="G145" s="420">
        <v>1</v>
      </c>
      <c r="H145" s="421">
        <v>1</v>
      </c>
      <c r="I145" s="422">
        <f>+G145/F145</f>
        <v>0.25</v>
      </c>
      <c r="J145" s="425">
        <f t="shared" si="124"/>
        <v>0.25</v>
      </c>
      <c r="K145" s="422">
        <f>+(G145/F145)*E145</f>
        <v>2.5000000000000001E-2</v>
      </c>
      <c r="L145" s="425">
        <f t="shared" si="126"/>
        <v>2.5000000000000001E-2</v>
      </c>
      <c r="M145" s="420">
        <v>1</v>
      </c>
      <c r="N145" s="485">
        <v>0</v>
      </c>
      <c r="O145" s="481">
        <v>0</v>
      </c>
      <c r="P145" s="481">
        <v>0</v>
      </c>
      <c r="Q145" s="421"/>
      <c r="R145" s="421">
        <f t="shared" si="127"/>
        <v>0</v>
      </c>
      <c r="S145" s="421">
        <f t="shared" si="129"/>
        <v>1</v>
      </c>
      <c r="T145" s="422">
        <f>+(M145/G145)</f>
        <v>1</v>
      </c>
      <c r="U145" s="459">
        <f t="shared" si="134"/>
        <v>0</v>
      </c>
      <c r="V145" s="474">
        <f>+T145*E145</f>
        <v>0.1</v>
      </c>
      <c r="W145" s="459">
        <f t="shared" si="136"/>
        <v>0</v>
      </c>
      <c r="X145" s="503">
        <f>+M145/F145</f>
        <v>0.25</v>
      </c>
      <c r="Y145" s="504">
        <f t="shared" si="135"/>
        <v>0.25</v>
      </c>
      <c r="Z145" s="503">
        <f>+X145*E145</f>
        <v>2.5000000000000001E-2</v>
      </c>
      <c r="AA145" s="504">
        <f>+Y145*E145</f>
        <v>2.5000000000000001E-2</v>
      </c>
      <c r="AB145" s="139" t="s">
        <v>1775</v>
      </c>
      <c r="AC145" s="704" t="s">
        <v>1797</v>
      </c>
      <c r="AD145" s="704" t="s">
        <v>1860</v>
      </c>
      <c r="AE145" s="106"/>
      <c r="AF145" s="106"/>
    </row>
    <row r="146" spans="1:32" ht="101.4" customHeight="1" thickBot="1" x14ac:dyDescent="0.4">
      <c r="A146" s="233"/>
      <c r="B146" s="894" t="s">
        <v>254</v>
      </c>
      <c r="C146" s="894" t="s">
        <v>255</v>
      </c>
      <c r="D146" s="390" t="s">
        <v>58</v>
      </c>
      <c r="E146" s="286">
        <v>0.2</v>
      </c>
      <c r="F146" s="419">
        <v>20</v>
      </c>
      <c r="G146" s="420">
        <v>5</v>
      </c>
      <c r="H146" s="421">
        <v>5</v>
      </c>
      <c r="I146" s="422">
        <f>+G146/F146</f>
        <v>0.25</v>
      </c>
      <c r="J146" s="425">
        <f t="shared" si="124"/>
        <v>0.25</v>
      </c>
      <c r="K146" s="422">
        <f>+(G146/F146)*E146</f>
        <v>0.05</v>
      </c>
      <c r="L146" s="425">
        <f t="shared" si="126"/>
        <v>0.05</v>
      </c>
      <c r="M146" s="420">
        <v>3</v>
      </c>
      <c r="N146" s="485">
        <v>0</v>
      </c>
      <c r="O146" s="481">
        <v>0</v>
      </c>
      <c r="P146" s="481">
        <v>1</v>
      </c>
      <c r="Q146" s="421"/>
      <c r="R146" s="421">
        <f t="shared" si="127"/>
        <v>1</v>
      </c>
      <c r="S146" s="421">
        <f t="shared" si="129"/>
        <v>4</v>
      </c>
      <c r="T146" s="422">
        <f>+(M146/G146)</f>
        <v>0.6</v>
      </c>
      <c r="U146" s="459">
        <f t="shared" si="134"/>
        <v>0.2</v>
      </c>
      <c r="V146" s="474">
        <f>+T146*E146</f>
        <v>0.12</v>
      </c>
      <c r="W146" s="459">
        <f t="shared" si="136"/>
        <v>4.0000000000000008E-2</v>
      </c>
      <c r="X146" s="503">
        <f>+M146/F146</f>
        <v>0.15</v>
      </c>
      <c r="Y146" s="504">
        <f t="shared" si="135"/>
        <v>0.2</v>
      </c>
      <c r="Z146" s="503">
        <f>+X146*E146</f>
        <v>0.03</v>
      </c>
      <c r="AA146" s="504">
        <f>+Y146*E146</f>
        <v>4.0000000000000008E-2</v>
      </c>
      <c r="AB146" s="139" t="s">
        <v>1775</v>
      </c>
      <c r="AC146" s="704" t="s">
        <v>1797</v>
      </c>
      <c r="AD146" s="704" t="s">
        <v>1860</v>
      </c>
      <c r="AE146" s="106"/>
      <c r="AF146" s="106"/>
    </row>
    <row r="147" spans="1:32" ht="82.95" customHeight="1" thickBot="1" x14ac:dyDescent="0.4">
      <c r="A147" s="233"/>
      <c r="B147" s="893" t="s">
        <v>1511</v>
      </c>
      <c r="C147" s="895" t="s">
        <v>1512</v>
      </c>
      <c r="D147" s="390" t="s">
        <v>58</v>
      </c>
      <c r="E147" s="286">
        <v>0.3</v>
      </c>
      <c r="F147" s="473">
        <v>60</v>
      </c>
      <c r="G147" s="420">
        <v>15</v>
      </c>
      <c r="H147" s="482">
        <v>17</v>
      </c>
      <c r="I147" s="422">
        <f>+G147/F147</f>
        <v>0.25</v>
      </c>
      <c r="J147" s="425">
        <f t="shared" si="124"/>
        <v>0.28333333333333333</v>
      </c>
      <c r="K147" s="422">
        <f>+(G147/F147)*E147</f>
        <v>7.4999999999999997E-2</v>
      </c>
      <c r="L147" s="425">
        <f t="shared" si="126"/>
        <v>8.4999999999999992E-2</v>
      </c>
      <c r="M147" s="421">
        <v>13</v>
      </c>
      <c r="N147" s="485">
        <v>0</v>
      </c>
      <c r="O147" s="481">
        <v>13</v>
      </c>
      <c r="P147" s="481">
        <v>0</v>
      </c>
      <c r="Q147" s="421"/>
      <c r="R147" s="421">
        <f t="shared" si="127"/>
        <v>13</v>
      </c>
      <c r="S147" s="421">
        <f t="shared" si="129"/>
        <v>26</v>
      </c>
      <c r="T147" s="422">
        <f>+(M147/G147)</f>
        <v>0.8666666666666667</v>
      </c>
      <c r="U147" s="459">
        <f t="shared" si="134"/>
        <v>0.76470588235294112</v>
      </c>
      <c r="V147" s="474">
        <f>+T147*E147</f>
        <v>0.26</v>
      </c>
      <c r="W147" s="459">
        <f t="shared" si="136"/>
        <v>0.22941176470588232</v>
      </c>
      <c r="X147" s="503">
        <f>+M147/F147</f>
        <v>0.21666666666666667</v>
      </c>
      <c r="Y147" s="506">
        <f t="shared" si="135"/>
        <v>0.43333333333333335</v>
      </c>
      <c r="Z147" s="503">
        <f>+X147*E147</f>
        <v>6.5000000000000002E-2</v>
      </c>
      <c r="AA147" s="504">
        <f>+Y147*E147</f>
        <v>0.13</v>
      </c>
      <c r="AB147" s="139" t="s">
        <v>1775</v>
      </c>
      <c r="AC147" s="704" t="s">
        <v>1797</v>
      </c>
      <c r="AD147" s="704" t="s">
        <v>1860</v>
      </c>
      <c r="AE147" s="106"/>
      <c r="AF147" s="106"/>
    </row>
    <row r="148" spans="1:32" ht="86.25" customHeight="1" thickBot="1" x14ac:dyDescent="0.45">
      <c r="A148" s="233"/>
      <c r="B148" s="946" t="s">
        <v>1543</v>
      </c>
      <c r="C148" s="945"/>
      <c r="D148" s="389"/>
      <c r="E148" s="415">
        <v>0.2</v>
      </c>
      <c r="F148" s="419"/>
      <c r="G148" s="418"/>
      <c r="H148" s="424"/>
      <c r="I148" s="417">
        <f>+AVERAGE(I149:I152)</f>
        <v>0.25</v>
      </c>
      <c r="J148" s="417">
        <f>+AVERAGE(J149:J152)</f>
        <v>0.22500000000000001</v>
      </c>
      <c r="K148" s="417">
        <f>+K149+K150+K151+K152</f>
        <v>0.15000000000000002</v>
      </c>
      <c r="L148" s="417">
        <f>+L149+L150+L151+L152</f>
        <v>0.20374999999999999</v>
      </c>
      <c r="M148" s="418"/>
      <c r="N148" s="424"/>
      <c r="O148" s="424"/>
      <c r="P148" s="424"/>
      <c r="Q148" s="424"/>
      <c r="R148" s="424"/>
      <c r="S148" s="424"/>
      <c r="T148" s="483">
        <f>+AVERAGE(T149:T152)</f>
        <v>1</v>
      </c>
      <c r="U148" s="483">
        <f>+AVERAGE(U149:U152)</f>
        <v>0.84659090909090906</v>
      </c>
      <c r="V148" s="483">
        <f>+(V149+V150+V151+V152)*E148</f>
        <v>0.12000000000000002</v>
      </c>
      <c r="W148" s="483">
        <f>+(W149+W150+W151+W152)*E148</f>
        <v>0.1690909090909091</v>
      </c>
      <c r="X148" s="438">
        <f>+AVERAGE(X149:X152)</f>
        <v>0.40833333333333338</v>
      </c>
      <c r="Y148" s="508">
        <f>+AVERAGE(Y149:Y152)</f>
        <v>0.50937500000000002</v>
      </c>
      <c r="Z148" s="438">
        <f>+(Z149+Z150+Z151+Z152)*E148</f>
        <v>4.4250000000000005E-2</v>
      </c>
      <c r="AA148" s="499">
        <f>+(AA149+AA150+AA151+AA152)</f>
        <v>0.41500000000000004</v>
      </c>
      <c r="AB148" s="132"/>
      <c r="AC148" s="704" t="s">
        <v>1859</v>
      </c>
      <c r="AD148" s="704" t="s">
        <v>1861</v>
      </c>
      <c r="AE148" s="106"/>
      <c r="AF148" s="106"/>
    </row>
    <row r="149" spans="1:32" ht="68.400000000000006" customHeight="1" thickBot="1" x14ac:dyDescent="0.4">
      <c r="A149" s="233"/>
      <c r="B149" s="893" t="s">
        <v>256</v>
      </c>
      <c r="C149" s="893" t="s">
        <v>257</v>
      </c>
      <c r="D149" s="390" t="s">
        <v>58</v>
      </c>
      <c r="E149" s="286">
        <v>0.05</v>
      </c>
      <c r="F149" s="419">
        <v>4</v>
      </c>
      <c r="G149" s="420">
        <v>1</v>
      </c>
      <c r="H149" s="421">
        <v>1</v>
      </c>
      <c r="I149" s="422">
        <f>+G149/F149</f>
        <v>0.25</v>
      </c>
      <c r="J149" s="425">
        <f t="shared" si="124"/>
        <v>0.25</v>
      </c>
      <c r="K149" s="422">
        <f>+(G149/F149)*E149</f>
        <v>1.2500000000000001E-2</v>
      </c>
      <c r="L149" s="425">
        <f t="shared" si="126"/>
        <v>1.2500000000000001E-2</v>
      </c>
      <c r="M149" s="421">
        <v>1</v>
      </c>
      <c r="N149" s="481">
        <v>0</v>
      </c>
      <c r="O149" s="481">
        <v>1</v>
      </c>
      <c r="P149" s="481">
        <v>0</v>
      </c>
      <c r="Q149" s="421"/>
      <c r="R149" s="421">
        <f t="shared" si="127"/>
        <v>1</v>
      </c>
      <c r="S149" s="421">
        <f t="shared" si="129"/>
        <v>2</v>
      </c>
      <c r="T149" s="422">
        <f>+(M149/G149)</f>
        <v>1</v>
      </c>
      <c r="U149" s="459">
        <f t="shared" si="134"/>
        <v>1</v>
      </c>
      <c r="V149" s="474">
        <f>+T149*E149</f>
        <v>0.05</v>
      </c>
      <c r="W149" s="459">
        <f t="shared" si="136"/>
        <v>0.05</v>
      </c>
      <c r="X149" s="503">
        <f>+M149/F149</f>
        <v>0.25</v>
      </c>
      <c r="Y149" s="512">
        <f t="shared" si="135"/>
        <v>0.5</v>
      </c>
      <c r="Z149" s="503">
        <f>+X149*E149</f>
        <v>1.2500000000000001E-2</v>
      </c>
      <c r="AA149" s="504">
        <f>+Y149*E149</f>
        <v>2.5000000000000001E-2</v>
      </c>
      <c r="AB149" s="139" t="s">
        <v>1775</v>
      </c>
      <c r="AC149" s="704" t="s">
        <v>1797</v>
      </c>
      <c r="AD149" s="704" t="s">
        <v>1860</v>
      </c>
      <c r="AE149" s="106"/>
      <c r="AF149" s="106"/>
    </row>
    <row r="150" spans="1:32" ht="84.6" customHeight="1" thickBot="1" x14ac:dyDescent="0.4">
      <c r="A150" s="233"/>
      <c r="B150" s="893" t="s">
        <v>258</v>
      </c>
      <c r="C150" s="893" t="s">
        <v>259</v>
      </c>
      <c r="D150" s="390" t="s">
        <v>58</v>
      </c>
      <c r="E150" s="286">
        <v>0.15</v>
      </c>
      <c r="F150" s="419">
        <v>40</v>
      </c>
      <c r="G150" s="420">
        <v>10</v>
      </c>
      <c r="H150" s="482">
        <v>11</v>
      </c>
      <c r="I150" s="422">
        <f>+G150/F150</f>
        <v>0.25</v>
      </c>
      <c r="J150" s="425">
        <f t="shared" si="124"/>
        <v>0.27500000000000002</v>
      </c>
      <c r="K150" s="422">
        <f>+(G150/F150)*E150</f>
        <v>3.7499999999999999E-2</v>
      </c>
      <c r="L150" s="425">
        <f t="shared" si="126"/>
        <v>4.1250000000000002E-2</v>
      </c>
      <c r="M150" s="421">
        <v>29</v>
      </c>
      <c r="N150" s="481">
        <v>2</v>
      </c>
      <c r="O150" s="481">
        <v>4</v>
      </c>
      <c r="P150" s="481">
        <v>1</v>
      </c>
      <c r="Q150" s="421"/>
      <c r="R150" s="421">
        <f t="shared" si="127"/>
        <v>7</v>
      </c>
      <c r="S150" s="421">
        <f t="shared" si="129"/>
        <v>36</v>
      </c>
      <c r="T150" s="422">
        <v>1</v>
      </c>
      <c r="U150" s="459">
        <f t="shared" si="134"/>
        <v>0.63636363636363635</v>
      </c>
      <c r="V150" s="474">
        <f>+T150*E150</f>
        <v>0.15</v>
      </c>
      <c r="W150" s="459">
        <f t="shared" si="136"/>
        <v>9.5454545454545445E-2</v>
      </c>
      <c r="X150" s="503">
        <f>+M150/F150</f>
        <v>0.72499999999999998</v>
      </c>
      <c r="Y150" s="504">
        <f t="shared" si="135"/>
        <v>0.9</v>
      </c>
      <c r="Z150" s="503">
        <f>+X150*E150</f>
        <v>0.10875</v>
      </c>
      <c r="AA150" s="504">
        <f>+Y150*E150</f>
        <v>0.13500000000000001</v>
      </c>
      <c r="AB150" s="139" t="s">
        <v>1775</v>
      </c>
      <c r="AC150" s="704" t="s">
        <v>1797</v>
      </c>
      <c r="AD150" s="704" t="s">
        <v>1860</v>
      </c>
      <c r="AE150" s="106"/>
      <c r="AF150" s="106"/>
    </row>
    <row r="151" spans="1:32" ht="98.4" customHeight="1" thickBot="1" x14ac:dyDescent="0.4">
      <c r="A151" s="233"/>
      <c r="B151" s="893" t="s">
        <v>260</v>
      </c>
      <c r="C151" s="893" t="s">
        <v>261</v>
      </c>
      <c r="D151" s="394" t="s">
        <v>58</v>
      </c>
      <c r="E151" s="315">
        <v>0.4</v>
      </c>
      <c r="F151" s="419">
        <f>80*4</f>
        <v>320</v>
      </c>
      <c r="G151" s="420">
        <v>80</v>
      </c>
      <c r="H151" s="421">
        <v>80</v>
      </c>
      <c r="I151" s="422">
        <f>+G151/F151</f>
        <v>0.25</v>
      </c>
      <c r="J151" s="425">
        <f t="shared" si="124"/>
        <v>0.25</v>
      </c>
      <c r="K151" s="422">
        <f>+(G151/F151)*E151</f>
        <v>0.1</v>
      </c>
      <c r="L151" s="425">
        <f t="shared" si="126"/>
        <v>0.1</v>
      </c>
      <c r="M151" s="421">
        <v>80</v>
      </c>
      <c r="N151" s="481">
        <v>20</v>
      </c>
      <c r="O151" s="481">
        <v>20</v>
      </c>
      <c r="P151" s="481">
        <v>20</v>
      </c>
      <c r="Q151" s="421"/>
      <c r="R151" s="421">
        <f t="shared" si="127"/>
        <v>60</v>
      </c>
      <c r="S151" s="421">
        <f t="shared" si="129"/>
        <v>140</v>
      </c>
      <c r="T151" s="422">
        <f>+(M151/G151)</f>
        <v>1</v>
      </c>
      <c r="U151" s="459">
        <f t="shared" si="134"/>
        <v>0.75</v>
      </c>
      <c r="V151" s="474">
        <f>+T151*E151</f>
        <v>0.4</v>
      </c>
      <c r="W151" s="459">
        <f t="shared" si="136"/>
        <v>0.30000000000000004</v>
      </c>
      <c r="X151" s="503">
        <f>+M151/F151</f>
        <v>0.25</v>
      </c>
      <c r="Y151" s="504">
        <f>+X151+12.5%+6.25%</f>
        <v>0.4375</v>
      </c>
      <c r="Z151" s="503">
        <f>+X151*E151</f>
        <v>0.1</v>
      </c>
      <c r="AA151" s="504">
        <f>+Y151*E151</f>
        <v>0.17500000000000002</v>
      </c>
      <c r="AB151" s="139" t="s">
        <v>1775</v>
      </c>
      <c r="AC151" s="598" t="s">
        <v>1822</v>
      </c>
      <c r="AD151" s="704" t="s">
        <v>1860</v>
      </c>
      <c r="AE151" s="106"/>
      <c r="AF151" s="106"/>
    </row>
    <row r="152" spans="1:32" ht="89.4" customHeight="1" thickBot="1" x14ac:dyDescent="0.4">
      <c r="A152" s="233"/>
      <c r="B152" s="893" t="s">
        <v>262</v>
      </c>
      <c r="C152" s="893" t="s">
        <v>263</v>
      </c>
      <c r="D152" s="390" t="s">
        <v>58</v>
      </c>
      <c r="E152" s="286">
        <v>0.4</v>
      </c>
      <c r="F152" s="419">
        <v>80</v>
      </c>
      <c r="G152" s="420">
        <v>0</v>
      </c>
      <c r="H152" s="421">
        <v>10</v>
      </c>
      <c r="I152" s="422"/>
      <c r="J152" s="425">
        <f t="shared" si="124"/>
        <v>0.125</v>
      </c>
      <c r="K152" s="422"/>
      <c r="L152" s="425">
        <f t="shared" si="126"/>
        <v>0.05</v>
      </c>
      <c r="M152" s="421"/>
      <c r="N152" s="481">
        <v>3</v>
      </c>
      <c r="O152" s="481">
        <v>7</v>
      </c>
      <c r="P152" s="481">
        <v>6</v>
      </c>
      <c r="Q152" s="421"/>
      <c r="R152" s="421">
        <f t="shared" si="127"/>
        <v>16</v>
      </c>
      <c r="S152" s="421">
        <f t="shared" si="129"/>
        <v>16</v>
      </c>
      <c r="T152" s="422"/>
      <c r="U152" s="459">
        <v>1</v>
      </c>
      <c r="V152" s="474"/>
      <c r="W152" s="459">
        <f t="shared" si="136"/>
        <v>0.4</v>
      </c>
      <c r="X152" s="503"/>
      <c r="Y152" s="506">
        <f t="shared" si="135"/>
        <v>0.2</v>
      </c>
      <c r="Z152" s="503"/>
      <c r="AA152" s="504">
        <f>+Y152*E152</f>
        <v>8.0000000000000016E-2</v>
      </c>
      <c r="AB152" s="139" t="s">
        <v>1775</v>
      </c>
      <c r="AC152" s="704" t="s">
        <v>1797</v>
      </c>
      <c r="AD152" s="704" t="s">
        <v>1860</v>
      </c>
      <c r="AE152" s="106"/>
      <c r="AF152" s="106"/>
    </row>
    <row r="153" spans="1:32" ht="80.400000000000006" customHeight="1" thickBot="1" x14ac:dyDescent="0.45">
      <c r="A153" s="233"/>
      <c r="B153" s="946" t="s">
        <v>1544</v>
      </c>
      <c r="C153" s="945"/>
      <c r="D153" s="389"/>
      <c r="E153" s="415">
        <v>0.05</v>
      </c>
      <c r="F153" s="419"/>
      <c r="G153" s="418"/>
      <c r="H153" s="424"/>
      <c r="I153" s="417">
        <f>+AVERAGE(I154:I159)</f>
        <v>0.625</v>
      </c>
      <c r="J153" s="417">
        <f>+AVERAGE(J154:J159)</f>
        <v>0.45611434329197087</v>
      </c>
      <c r="K153" s="417">
        <f>+K154+K155+K156+K157+K158+K159</f>
        <v>6.25E-2</v>
      </c>
      <c r="L153" s="417">
        <f>+L154+L155+L156+L157+L158+L159</f>
        <v>0.36258775084671224</v>
      </c>
      <c r="M153" s="418"/>
      <c r="N153" s="424"/>
      <c r="O153" s="424"/>
      <c r="P153" s="424"/>
      <c r="Q153" s="424"/>
      <c r="R153" s="424"/>
      <c r="S153" s="424"/>
      <c r="T153" s="483">
        <f>+AVERAGE(T154:T159)</f>
        <v>0.5</v>
      </c>
      <c r="U153" s="483">
        <f>+AVERAGE(U154:U159)</f>
        <v>0.68520000000000003</v>
      </c>
      <c r="V153" s="483">
        <f>+(V154+V155+V156+V157+V158+V159)*E153</f>
        <v>2.5000000000000005E-3</v>
      </c>
      <c r="W153" s="483">
        <f>+(W154+W155+W156+W157+W158+W159)*E153</f>
        <v>2.4955000000000001E-2</v>
      </c>
      <c r="X153" s="438">
        <f>+AVERAGE(X154:X159)</f>
        <v>0.25</v>
      </c>
      <c r="Y153" s="508">
        <f>+AVERAGE(Y154:Y159)</f>
        <v>0.42372072908991898</v>
      </c>
      <c r="Z153" s="438">
        <f>+(Z154+Z155+Z156+Z157+Z158+Z159)*E153</f>
        <v>1.2500000000000002E-3</v>
      </c>
      <c r="AA153" s="499">
        <f>+(AA154+AA155+AA156+AA157+AA158+AA159)</f>
        <v>0.3036625876926034</v>
      </c>
      <c r="AB153" s="132"/>
      <c r="AC153" s="388"/>
      <c r="AD153" s="388"/>
      <c r="AE153" s="106"/>
      <c r="AF153" s="106"/>
    </row>
    <row r="154" spans="1:32" ht="91.2" customHeight="1" thickBot="1" x14ac:dyDescent="0.4">
      <c r="A154" s="233"/>
      <c r="B154" s="397" t="s">
        <v>264</v>
      </c>
      <c r="C154" s="397" t="s">
        <v>265</v>
      </c>
      <c r="D154" s="390" t="s">
        <v>12</v>
      </c>
      <c r="E154" s="286">
        <v>0.05</v>
      </c>
      <c r="F154" s="419">
        <v>1</v>
      </c>
      <c r="G154" s="420">
        <v>0</v>
      </c>
      <c r="H154" s="421">
        <v>1</v>
      </c>
      <c r="I154" s="422"/>
      <c r="J154" s="425">
        <f>+H154/F154</f>
        <v>1</v>
      </c>
      <c r="K154" s="422"/>
      <c r="L154" s="425">
        <f>+(H154/F154)*E154</f>
        <v>0.05</v>
      </c>
      <c r="M154" s="420"/>
      <c r="N154" s="481">
        <v>1</v>
      </c>
      <c r="O154" s="481"/>
      <c r="P154" s="481"/>
      <c r="Q154" s="421"/>
      <c r="R154" s="421">
        <f t="shared" si="127"/>
        <v>1</v>
      </c>
      <c r="S154" s="421">
        <f t="shared" si="129"/>
        <v>1</v>
      </c>
      <c r="T154" s="422"/>
      <c r="U154" s="459">
        <f>+R154/H154</f>
        <v>1</v>
      </c>
      <c r="V154" s="474"/>
      <c r="W154" s="459">
        <f t="shared" si="136"/>
        <v>0.05</v>
      </c>
      <c r="X154" s="503"/>
      <c r="Y154" s="512">
        <f t="shared" si="135"/>
        <v>1</v>
      </c>
      <c r="Z154" s="503">
        <v>0</v>
      </c>
      <c r="AA154" s="504">
        <f>+Y154*E154</f>
        <v>0.05</v>
      </c>
      <c r="AB154" s="139" t="s">
        <v>1775</v>
      </c>
      <c r="AC154" s="601" t="s">
        <v>1797</v>
      </c>
      <c r="AD154" s="704" t="s">
        <v>1860</v>
      </c>
      <c r="AE154" s="106"/>
      <c r="AF154" s="106"/>
    </row>
    <row r="155" spans="1:32" ht="84.6" customHeight="1" thickBot="1" x14ac:dyDescent="0.4">
      <c r="A155" s="233"/>
      <c r="B155" s="894" t="s">
        <v>266</v>
      </c>
      <c r="C155" s="894" t="s">
        <v>267</v>
      </c>
      <c r="D155" s="390" t="s">
        <v>12</v>
      </c>
      <c r="E155" s="286">
        <v>0.05</v>
      </c>
      <c r="F155" s="419">
        <v>8</v>
      </c>
      <c r="G155" s="420">
        <v>2</v>
      </c>
      <c r="H155" s="421">
        <v>2</v>
      </c>
      <c r="I155" s="422">
        <f>+G155/F155</f>
        <v>0.25</v>
      </c>
      <c r="J155" s="425">
        <f t="shared" si="124"/>
        <v>0.25</v>
      </c>
      <c r="K155" s="422">
        <f>+(G155/F155)*E155</f>
        <v>1.2500000000000001E-2</v>
      </c>
      <c r="L155" s="425">
        <f t="shared" si="126"/>
        <v>1.2500000000000001E-2</v>
      </c>
      <c r="M155" s="420">
        <v>4</v>
      </c>
      <c r="N155" s="481">
        <v>0</v>
      </c>
      <c r="O155" s="481">
        <v>2</v>
      </c>
      <c r="P155" s="481"/>
      <c r="Q155" s="421"/>
      <c r="R155" s="421">
        <f t="shared" si="127"/>
        <v>2</v>
      </c>
      <c r="S155" s="421">
        <f t="shared" si="129"/>
        <v>6</v>
      </c>
      <c r="T155" s="422">
        <v>1</v>
      </c>
      <c r="U155" s="459">
        <f t="shared" ref="U155:U157" si="137">+R155/H155</f>
        <v>1</v>
      </c>
      <c r="V155" s="474">
        <f>+T155*E155</f>
        <v>0.05</v>
      </c>
      <c r="W155" s="459">
        <f t="shared" si="136"/>
        <v>0.05</v>
      </c>
      <c r="X155" s="503">
        <f>+M155/F155</f>
        <v>0.5</v>
      </c>
      <c r="Y155" s="504">
        <f t="shared" si="135"/>
        <v>0.75</v>
      </c>
      <c r="Z155" s="503">
        <f>+X155*E155</f>
        <v>2.5000000000000001E-2</v>
      </c>
      <c r="AA155" s="504">
        <f>+Y155*E155</f>
        <v>3.7500000000000006E-2</v>
      </c>
      <c r="AB155" s="139" t="s">
        <v>1775</v>
      </c>
      <c r="AC155" s="601" t="s">
        <v>1797</v>
      </c>
      <c r="AD155" s="704" t="s">
        <v>1860</v>
      </c>
      <c r="AE155" s="106"/>
      <c r="AF155" s="106"/>
    </row>
    <row r="156" spans="1:32" ht="115.2" customHeight="1" thickBot="1" x14ac:dyDescent="0.4">
      <c r="A156" s="233"/>
      <c r="B156" s="894" t="s">
        <v>268</v>
      </c>
      <c r="C156" s="894" t="s">
        <v>269</v>
      </c>
      <c r="D156" s="393" t="s">
        <v>1513</v>
      </c>
      <c r="E156" s="286">
        <v>0.35</v>
      </c>
      <c r="F156" s="419">
        <v>3534</v>
      </c>
      <c r="G156" s="420">
        <v>0</v>
      </c>
      <c r="H156" s="421">
        <v>1500</v>
      </c>
      <c r="I156" s="422"/>
      <c r="J156" s="425">
        <f t="shared" si="124"/>
        <v>0.42444821731748728</v>
      </c>
      <c r="K156" s="422"/>
      <c r="L156" s="425">
        <f>+(H156/F156)*E156</f>
        <v>0.14855687606112053</v>
      </c>
      <c r="M156" s="420"/>
      <c r="N156" s="481">
        <v>0</v>
      </c>
      <c r="O156" s="421">
        <v>353</v>
      </c>
      <c r="P156" s="481">
        <v>286</v>
      </c>
      <c r="Q156" s="421"/>
      <c r="R156" s="421">
        <f t="shared" si="127"/>
        <v>639</v>
      </c>
      <c r="S156" s="421">
        <f t="shared" si="129"/>
        <v>639</v>
      </c>
      <c r="T156" s="422"/>
      <c r="U156" s="459">
        <f t="shared" si="137"/>
        <v>0.42599999999999999</v>
      </c>
      <c r="V156" s="474"/>
      <c r="W156" s="459">
        <f t="shared" si="136"/>
        <v>0.14909999999999998</v>
      </c>
      <c r="X156" s="503"/>
      <c r="Y156" s="504">
        <f t="shared" si="135"/>
        <v>0.18081494057724959</v>
      </c>
      <c r="Z156" s="503">
        <v>0</v>
      </c>
      <c r="AA156" s="504">
        <f>+Y156*E156</f>
        <v>6.3285229202037357E-2</v>
      </c>
      <c r="AB156" s="139" t="s">
        <v>1775</v>
      </c>
      <c r="AC156" s="617" t="s">
        <v>1812</v>
      </c>
      <c r="AD156" s="704" t="s">
        <v>1860</v>
      </c>
      <c r="AE156" s="106"/>
      <c r="AF156" s="106"/>
    </row>
    <row r="157" spans="1:32" ht="142.80000000000001" customHeight="1" thickBot="1" x14ac:dyDescent="0.4">
      <c r="A157" s="233"/>
      <c r="B157" s="894" t="s">
        <v>270</v>
      </c>
      <c r="C157" s="894" t="s">
        <v>271</v>
      </c>
      <c r="D157" s="393" t="s">
        <v>1819</v>
      </c>
      <c r="E157" s="286">
        <v>0.25</v>
      </c>
      <c r="F157" s="419">
        <v>55</v>
      </c>
      <c r="G157" s="420">
        <v>0</v>
      </c>
      <c r="H157" s="421">
        <v>15</v>
      </c>
      <c r="I157" s="422"/>
      <c r="J157" s="425">
        <f t="shared" si="124"/>
        <v>0.27272727272727271</v>
      </c>
      <c r="K157" s="422"/>
      <c r="L157" s="425">
        <f t="shared" si="126"/>
        <v>6.8181818181818177E-2</v>
      </c>
      <c r="M157" s="420"/>
      <c r="N157" s="481">
        <v>0</v>
      </c>
      <c r="O157" s="421">
        <v>0</v>
      </c>
      <c r="P157" s="481">
        <v>0</v>
      </c>
      <c r="Q157" s="421"/>
      <c r="R157" s="421">
        <f t="shared" si="127"/>
        <v>0</v>
      </c>
      <c r="S157" s="421">
        <f t="shared" si="129"/>
        <v>0</v>
      </c>
      <c r="T157" s="422"/>
      <c r="U157" s="459">
        <f t="shared" si="137"/>
        <v>0</v>
      </c>
      <c r="V157" s="474"/>
      <c r="W157" s="459">
        <f t="shared" si="136"/>
        <v>0</v>
      </c>
      <c r="X157" s="503"/>
      <c r="Y157" s="504">
        <f t="shared" si="135"/>
        <v>0</v>
      </c>
      <c r="Z157" s="503">
        <v>0</v>
      </c>
      <c r="AA157" s="504">
        <v>0</v>
      </c>
      <c r="AB157" s="139" t="s">
        <v>1775</v>
      </c>
      <c r="AC157" s="617" t="s">
        <v>1818</v>
      </c>
      <c r="AD157" s="704" t="s">
        <v>1860</v>
      </c>
      <c r="AE157" s="106"/>
      <c r="AF157" s="106"/>
    </row>
    <row r="158" spans="1:32" ht="76.8" customHeight="1" thickBot="1" x14ac:dyDescent="0.4">
      <c r="A158" s="233"/>
      <c r="B158" s="397" t="s">
        <v>272</v>
      </c>
      <c r="C158" s="397" t="s">
        <v>273</v>
      </c>
      <c r="D158" s="392" t="s">
        <v>162</v>
      </c>
      <c r="E158" s="286">
        <v>0.05</v>
      </c>
      <c r="F158" s="419">
        <v>2</v>
      </c>
      <c r="G158" s="420">
        <v>2</v>
      </c>
      <c r="H158" s="421"/>
      <c r="I158" s="422">
        <f>+G158/F158</f>
        <v>1</v>
      </c>
      <c r="J158" s="425"/>
      <c r="K158" s="422">
        <f>+(G158/F158)*E158</f>
        <v>0.05</v>
      </c>
      <c r="L158" s="425"/>
      <c r="M158" s="420">
        <v>0</v>
      </c>
      <c r="N158" s="481"/>
      <c r="O158" s="421"/>
      <c r="P158" s="421"/>
      <c r="Q158" s="421"/>
      <c r="R158" s="421">
        <f t="shared" si="127"/>
        <v>0</v>
      </c>
      <c r="S158" s="421">
        <f t="shared" si="129"/>
        <v>0</v>
      </c>
      <c r="T158" s="422">
        <f>+(M158/G158)</f>
        <v>0</v>
      </c>
      <c r="U158" s="459"/>
      <c r="V158" s="474">
        <f>+T158*E158</f>
        <v>0</v>
      </c>
      <c r="W158" s="459"/>
      <c r="X158" s="503">
        <f>+M158/F158</f>
        <v>0</v>
      </c>
      <c r="Y158" s="504">
        <v>0</v>
      </c>
      <c r="Z158" s="503">
        <f>+X158*E158</f>
        <v>0</v>
      </c>
      <c r="AA158" s="504">
        <f>+Y158*E158</f>
        <v>0</v>
      </c>
      <c r="AB158" s="614" t="s">
        <v>1778</v>
      </c>
      <c r="AC158" s="598" t="s">
        <v>1778</v>
      </c>
      <c r="AD158" s="388"/>
      <c r="AE158" s="106"/>
      <c r="AF158" s="106"/>
    </row>
    <row r="159" spans="1:32" ht="106.95" customHeight="1" thickBot="1" x14ac:dyDescent="0.4">
      <c r="A159" s="233"/>
      <c r="B159" s="894" t="s">
        <v>274</v>
      </c>
      <c r="C159" s="894" t="s">
        <v>275</v>
      </c>
      <c r="D159" s="394" t="s">
        <v>1500</v>
      </c>
      <c r="E159" s="286">
        <v>0.25</v>
      </c>
      <c r="F159" s="419">
        <v>10600</v>
      </c>
      <c r="G159" s="420">
        <v>0</v>
      </c>
      <c r="H159" s="421">
        <v>3534</v>
      </c>
      <c r="I159" s="422"/>
      <c r="J159" s="425">
        <f t="shared" si="124"/>
        <v>0.33339622641509437</v>
      </c>
      <c r="K159" s="422"/>
      <c r="L159" s="425">
        <f t="shared" si="126"/>
        <v>8.3349056603773591E-2</v>
      </c>
      <c r="M159" s="420"/>
      <c r="N159" s="481">
        <v>0</v>
      </c>
      <c r="O159" s="481">
        <v>2711</v>
      </c>
      <c r="P159" s="481">
        <v>3771</v>
      </c>
      <c r="Q159" s="421"/>
      <c r="R159" s="421">
        <f t="shared" si="127"/>
        <v>6482</v>
      </c>
      <c r="S159" s="421">
        <f t="shared" si="129"/>
        <v>6482</v>
      </c>
      <c r="T159" s="422"/>
      <c r="U159" s="459">
        <v>1</v>
      </c>
      <c r="V159" s="474"/>
      <c r="W159" s="459">
        <f t="shared" si="136"/>
        <v>0.25</v>
      </c>
      <c r="X159" s="790"/>
      <c r="Y159" s="504">
        <f t="shared" si="135"/>
        <v>0.6115094339622642</v>
      </c>
      <c r="Z159" s="503">
        <v>0</v>
      </c>
      <c r="AA159" s="504">
        <f>+Y159*E159</f>
        <v>0.15287735849056605</v>
      </c>
      <c r="AB159" s="139" t="s">
        <v>1775</v>
      </c>
      <c r="AC159" s="598" t="s">
        <v>1833</v>
      </c>
      <c r="AD159" s="388"/>
      <c r="AE159" s="106"/>
      <c r="AF159" s="106"/>
    </row>
    <row r="160" spans="1:32" ht="30" customHeight="1" thickBot="1" x14ac:dyDescent="0.45">
      <c r="A160" s="233"/>
      <c r="B160" s="946" t="s">
        <v>1545</v>
      </c>
      <c r="C160" s="945"/>
      <c r="D160" s="389"/>
      <c r="E160" s="415">
        <v>0.2</v>
      </c>
      <c r="F160" s="419"/>
      <c r="G160" s="418"/>
      <c r="H160" s="424"/>
      <c r="I160" s="417">
        <f>+AVERAGE(I161:I165)</f>
        <v>0.22400000000000003</v>
      </c>
      <c r="J160" s="417">
        <f>+AVERAGE(J161:J165)</f>
        <v>0.29239999999999999</v>
      </c>
      <c r="K160" s="417">
        <f>+K161+K162+K163+K164+K165</f>
        <v>0.14599999999999999</v>
      </c>
      <c r="L160" s="417">
        <f>+L161+L162+L163+L164+L165</f>
        <v>0.2656</v>
      </c>
      <c r="M160" s="418"/>
      <c r="N160" s="424"/>
      <c r="O160" s="424"/>
      <c r="P160" s="424"/>
      <c r="Q160" s="424"/>
      <c r="R160" s="424"/>
      <c r="S160" s="424"/>
      <c r="T160" s="483">
        <f>+AVERAGE(T161:T165)</f>
        <v>1</v>
      </c>
      <c r="U160" s="483">
        <f>+AVERAGE(U161:U165)</f>
        <v>0.36666666666666664</v>
      </c>
      <c r="V160" s="483">
        <f>+(V161+V162+V163+V164+V165)*E160</f>
        <v>0.19999999999999998</v>
      </c>
      <c r="W160" s="507">
        <f>+(W161+W162+W163+W164+W165)*E160</f>
        <v>0.05</v>
      </c>
      <c r="X160" s="508">
        <f>+AVERAGE(X161:X165)</f>
        <v>0.25159999999999999</v>
      </c>
      <c r="Y160" s="438">
        <f>+AVERAGE(Y161:Y165)</f>
        <v>0.38940000000000002</v>
      </c>
      <c r="Z160" s="438">
        <f>+(Z161+Z162+Z163+Z164+Z165)*E160</f>
        <v>3.8080000000000003E-2</v>
      </c>
      <c r="AA160" s="499">
        <f>+(AA161+AA162+AA163+AA164+AA165)</f>
        <v>0.27210000000000001</v>
      </c>
      <c r="AB160" s="132"/>
      <c r="AC160" s="388"/>
      <c r="AD160" s="388"/>
      <c r="AE160" s="106"/>
      <c r="AF160" s="106"/>
    </row>
    <row r="161" spans="1:32" ht="92.4" customHeight="1" thickBot="1" x14ac:dyDescent="0.4">
      <c r="A161" s="233"/>
      <c r="B161" s="894" t="s">
        <v>276</v>
      </c>
      <c r="C161" s="894" t="s">
        <v>277</v>
      </c>
      <c r="D161" s="390" t="s">
        <v>58</v>
      </c>
      <c r="E161" s="286">
        <v>0.3</v>
      </c>
      <c r="F161" s="419">
        <v>500</v>
      </c>
      <c r="G161" s="420">
        <v>10</v>
      </c>
      <c r="H161" s="421">
        <v>96</v>
      </c>
      <c r="I161" s="422">
        <f>+G161/F161</f>
        <v>0.02</v>
      </c>
      <c r="J161" s="425">
        <f t="shared" si="124"/>
        <v>0.192</v>
      </c>
      <c r="K161" s="422">
        <f>+(G161/F161)*E161</f>
        <v>6.0000000000000001E-3</v>
      </c>
      <c r="L161" s="425">
        <f t="shared" si="126"/>
        <v>5.7599999999999998E-2</v>
      </c>
      <c r="M161" s="420">
        <v>64</v>
      </c>
      <c r="N161" s="481">
        <v>0</v>
      </c>
      <c r="O161" s="421">
        <v>32</v>
      </c>
      <c r="P161" s="481">
        <v>0</v>
      </c>
      <c r="Q161" s="421"/>
      <c r="R161" s="421">
        <f t="shared" si="127"/>
        <v>32</v>
      </c>
      <c r="S161" s="421">
        <f t="shared" si="129"/>
        <v>96</v>
      </c>
      <c r="T161" s="422">
        <v>1</v>
      </c>
      <c r="U161" s="425">
        <f t="shared" ref="U161:U170" si="138">+R161/H161</f>
        <v>0.33333333333333331</v>
      </c>
      <c r="V161" s="422">
        <f>+T161*E161</f>
        <v>0.3</v>
      </c>
      <c r="W161" s="425">
        <f t="shared" si="136"/>
        <v>9.9999999999999992E-2</v>
      </c>
      <c r="X161" s="509">
        <f>+M161/F161</f>
        <v>0.128</v>
      </c>
      <c r="Y161" s="443">
        <f t="shared" si="135"/>
        <v>0.192</v>
      </c>
      <c r="Z161" s="442">
        <f>+X161*E161</f>
        <v>3.8399999999999997E-2</v>
      </c>
      <c r="AA161" s="443">
        <f>+Y161*E161</f>
        <v>5.7599999999999998E-2</v>
      </c>
      <c r="AB161" s="139" t="s">
        <v>1775</v>
      </c>
      <c r="AC161" s="704" t="s">
        <v>1797</v>
      </c>
      <c r="AD161" s="704" t="s">
        <v>1860</v>
      </c>
      <c r="AE161" s="106"/>
      <c r="AF161" s="106"/>
    </row>
    <row r="162" spans="1:32" ht="139.94999999999999" customHeight="1" thickBot="1" x14ac:dyDescent="0.4">
      <c r="A162" s="233"/>
      <c r="B162" s="894" t="s">
        <v>278</v>
      </c>
      <c r="C162" s="894" t="s">
        <v>279</v>
      </c>
      <c r="D162" s="390" t="s">
        <v>58</v>
      </c>
      <c r="E162" s="286">
        <v>0.4</v>
      </c>
      <c r="F162" s="419">
        <v>200</v>
      </c>
      <c r="G162" s="420">
        <v>20</v>
      </c>
      <c r="H162" s="421">
        <v>54</v>
      </c>
      <c r="I162" s="422">
        <f>+G162/F162</f>
        <v>0.1</v>
      </c>
      <c r="J162" s="425">
        <f t="shared" si="124"/>
        <v>0.27</v>
      </c>
      <c r="K162" s="422">
        <f>+(G162/F162)*E162</f>
        <v>4.0000000000000008E-2</v>
      </c>
      <c r="L162" s="425">
        <f t="shared" si="126"/>
        <v>0.10800000000000001</v>
      </c>
      <c r="M162" s="420">
        <v>26</v>
      </c>
      <c r="N162" s="481">
        <v>0</v>
      </c>
      <c r="O162" s="421">
        <v>0</v>
      </c>
      <c r="P162" s="481">
        <v>0</v>
      </c>
      <c r="Q162" s="421"/>
      <c r="R162" s="421">
        <f t="shared" si="127"/>
        <v>0</v>
      </c>
      <c r="S162" s="421">
        <f t="shared" si="129"/>
        <v>26</v>
      </c>
      <c r="T162" s="422">
        <v>1</v>
      </c>
      <c r="U162" s="425">
        <f t="shared" si="138"/>
        <v>0</v>
      </c>
      <c r="V162" s="422">
        <f>+T162*E162</f>
        <v>0.4</v>
      </c>
      <c r="W162" s="425">
        <f t="shared" si="136"/>
        <v>0</v>
      </c>
      <c r="X162" s="442">
        <f>+M162/F162</f>
        <v>0.13</v>
      </c>
      <c r="Y162" s="443">
        <f t="shared" si="135"/>
        <v>0.13</v>
      </c>
      <c r="Z162" s="442">
        <f>+X162*E162</f>
        <v>5.2000000000000005E-2</v>
      </c>
      <c r="AA162" s="443">
        <f>+Y162*E162</f>
        <v>5.2000000000000005E-2</v>
      </c>
      <c r="AB162" s="139" t="s">
        <v>1775</v>
      </c>
      <c r="AC162" s="704" t="s">
        <v>1797</v>
      </c>
      <c r="AD162" s="704" t="s">
        <v>1860</v>
      </c>
      <c r="AE162" s="106"/>
      <c r="AF162" s="106"/>
    </row>
    <row r="163" spans="1:32" ht="82.95" customHeight="1" thickBot="1" x14ac:dyDescent="0.4">
      <c r="A163" s="233"/>
      <c r="B163" s="894" t="s">
        <v>280</v>
      </c>
      <c r="C163" s="894" t="s">
        <v>281</v>
      </c>
      <c r="D163" s="390" t="s">
        <v>58</v>
      </c>
      <c r="E163" s="286">
        <v>0.1</v>
      </c>
      <c r="F163" s="419">
        <v>1</v>
      </c>
      <c r="G163" s="420">
        <v>0.5</v>
      </c>
      <c r="H163" s="421">
        <v>0.5</v>
      </c>
      <c r="I163" s="422">
        <f>+G163/F163</f>
        <v>0.5</v>
      </c>
      <c r="J163" s="425">
        <f t="shared" si="124"/>
        <v>0.5</v>
      </c>
      <c r="K163" s="422">
        <f>+(G163/F163)*E163</f>
        <v>0.05</v>
      </c>
      <c r="L163" s="425">
        <f t="shared" si="126"/>
        <v>0.05</v>
      </c>
      <c r="M163" s="420">
        <v>0.5</v>
      </c>
      <c r="N163" s="481">
        <v>0</v>
      </c>
      <c r="O163" s="421">
        <v>0</v>
      </c>
      <c r="P163" s="481">
        <v>0</v>
      </c>
      <c r="Q163" s="421"/>
      <c r="R163" s="421">
        <f t="shared" si="127"/>
        <v>0</v>
      </c>
      <c r="S163" s="421">
        <f t="shared" si="129"/>
        <v>0.5</v>
      </c>
      <c r="T163" s="422">
        <f>+(M163/G163)</f>
        <v>1</v>
      </c>
      <c r="U163" s="425">
        <f t="shared" si="138"/>
        <v>0</v>
      </c>
      <c r="V163" s="422">
        <f>+T163*E163</f>
        <v>0.1</v>
      </c>
      <c r="W163" s="425">
        <f t="shared" si="136"/>
        <v>0</v>
      </c>
      <c r="X163" s="442">
        <f>+M163/F163</f>
        <v>0.5</v>
      </c>
      <c r="Y163" s="443">
        <f t="shared" si="135"/>
        <v>0.5</v>
      </c>
      <c r="Z163" s="442">
        <f>+X163*E163</f>
        <v>0.05</v>
      </c>
      <c r="AA163" s="443">
        <f>+Y163*E163</f>
        <v>0.05</v>
      </c>
      <c r="AB163" s="139" t="s">
        <v>1775</v>
      </c>
      <c r="AC163" s="704" t="s">
        <v>1797</v>
      </c>
      <c r="AD163" s="704" t="s">
        <v>1860</v>
      </c>
      <c r="AE163" s="106"/>
      <c r="AF163" s="106"/>
    </row>
    <row r="164" spans="1:32" ht="165" customHeight="1" thickBot="1" x14ac:dyDescent="0.4">
      <c r="A164" s="233"/>
      <c r="B164" s="894" t="s">
        <v>282</v>
      </c>
      <c r="C164" s="894" t="s">
        <v>283</v>
      </c>
      <c r="D164" s="390" t="s">
        <v>58</v>
      </c>
      <c r="E164" s="286">
        <v>0.1</v>
      </c>
      <c r="F164" s="419">
        <v>8</v>
      </c>
      <c r="G164" s="420">
        <v>2</v>
      </c>
      <c r="H164" s="421">
        <v>2</v>
      </c>
      <c r="I164" s="422">
        <f>+G164/F164</f>
        <v>0.25</v>
      </c>
      <c r="J164" s="425">
        <f>+H164/F164</f>
        <v>0.25</v>
      </c>
      <c r="K164" s="422">
        <f>+(G164/F164)*E164</f>
        <v>2.5000000000000001E-2</v>
      </c>
      <c r="L164" s="425">
        <f t="shared" si="126"/>
        <v>2.5000000000000001E-2</v>
      </c>
      <c r="M164" s="420">
        <v>2</v>
      </c>
      <c r="N164" s="481">
        <v>0</v>
      </c>
      <c r="O164" s="421">
        <v>3</v>
      </c>
      <c r="P164" s="421">
        <v>1</v>
      </c>
      <c r="Q164" s="421"/>
      <c r="R164" s="421">
        <f t="shared" si="127"/>
        <v>4</v>
      </c>
      <c r="S164" s="421">
        <f>+R164+M164</f>
        <v>6</v>
      </c>
      <c r="T164" s="422">
        <f>+(M164/G164)</f>
        <v>1</v>
      </c>
      <c r="U164" s="425">
        <v>1</v>
      </c>
      <c r="V164" s="422">
        <f>+T164*E164</f>
        <v>0.1</v>
      </c>
      <c r="W164" s="425">
        <f t="shared" si="136"/>
        <v>0.1</v>
      </c>
      <c r="X164" s="442">
        <f>+M164/F164</f>
        <v>0.25</v>
      </c>
      <c r="Y164" s="443">
        <f t="shared" si="135"/>
        <v>0.75</v>
      </c>
      <c r="Z164" s="442">
        <f>+X164*E164</f>
        <v>2.5000000000000001E-2</v>
      </c>
      <c r="AA164" s="443">
        <f>+Y164*E164</f>
        <v>7.5000000000000011E-2</v>
      </c>
      <c r="AB164" s="139" t="s">
        <v>1775</v>
      </c>
      <c r="AC164" s="704" t="s">
        <v>1797</v>
      </c>
      <c r="AD164" s="704" t="s">
        <v>1860</v>
      </c>
      <c r="AE164" s="106"/>
      <c r="AF164" s="106"/>
    </row>
    <row r="165" spans="1:32" ht="180.6" customHeight="1" thickBot="1" x14ac:dyDescent="0.4">
      <c r="A165" s="233"/>
      <c r="B165" s="894" t="s">
        <v>284</v>
      </c>
      <c r="C165" s="894" t="s">
        <v>285</v>
      </c>
      <c r="D165" s="390" t="s">
        <v>58</v>
      </c>
      <c r="E165" s="286">
        <v>0.1</v>
      </c>
      <c r="F165" s="419">
        <v>8</v>
      </c>
      <c r="G165" s="420">
        <v>2</v>
      </c>
      <c r="H165" s="421">
        <v>2</v>
      </c>
      <c r="I165" s="422">
        <f>+G165/F165</f>
        <v>0.25</v>
      </c>
      <c r="J165" s="425">
        <f t="shared" si="124"/>
        <v>0.25</v>
      </c>
      <c r="K165" s="422">
        <f>+(G165/F165)*E165</f>
        <v>2.5000000000000001E-2</v>
      </c>
      <c r="L165" s="425">
        <f t="shared" si="126"/>
        <v>2.5000000000000001E-2</v>
      </c>
      <c r="M165" s="420">
        <v>2</v>
      </c>
      <c r="N165" s="481">
        <v>0</v>
      </c>
      <c r="O165" s="421">
        <v>1</v>
      </c>
      <c r="P165" s="421">
        <v>0</v>
      </c>
      <c r="Q165" s="421"/>
      <c r="R165" s="421">
        <f>+N165+O165+P165+Q165</f>
        <v>1</v>
      </c>
      <c r="S165" s="421">
        <f t="shared" si="129"/>
        <v>3</v>
      </c>
      <c r="T165" s="422">
        <f>+(M165/G165)</f>
        <v>1</v>
      </c>
      <c r="U165" s="425">
        <f t="shared" si="138"/>
        <v>0.5</v>
      </c>
      <c r="V165" s="422">
        <f>+T165*E165</f>
        <v>0.1</v>
      </c>
      <c r="W165" s="425">
        <f t="shared" si="136"/>
        <v>0.05</v>
      </c>
      <c r="X165" s="442">
        <f>+M165/F165</f>
        <v>0.25</v>
      </c>
      <c r="Y165" s="443">
        <f t="shared" si="135"/>
        <v>0.375</v>
      </c>
      <c r="Z165" s="442">
        <f>+X165*E165</f>
        <v>2.5000000000000001E-2</v>
      </c>
      <c r="AA165" s="443">
        <f>+Y165*E165</f>
        <v>3.7500000000000006E-2</v>
      </c>
      <c r="AB165" s="139" t="s">
        <v>1775</v>
      </c>
      <c r="AC165" s="704" t="s">
        <v>1797</v>
      </c>
      <c r="AD165" s="704" t="s">
        <v>1860</v>
      </c>
      <c r="AE165" s="106"/>
      <c r="AF165" s="106"/>
    </row>
    <row r="166" spans="1:32" ht="144.6" customHeight="1" thickBot="1" x14ac:dyDescent="0.45">
      <c r="A166" s="233"/>
      <c r="B166" s="946" t="s">
        <v>1546</v>
      </c>
      <c r="C166" s="945"/>
      <c r="D166" s="389"/>
      <c r="E166" s="415">
        <v>0.05</v>
      </c>
      <c r="F166" s="419"/>
      <c r="G166" s="418"/>
      <c r="H166" s="424"/>
      <c r="I166" s="417"/>
      <c r="J166" s="417">
        <f>+AVERAGE(J167:J170)</f>
        <v>0.625</v>
      </c>
      <c r="K166" s="417">
        <f>+K167+K168+K169+K170</f>
        <v>0</v>
      </c>
      <c r="L166" s="417">
        <f>+L167+L168+L169+L170</f>
        <v>0.625</v>
      </c>
      <c r="M166" s="418"/>
      <c r="N166" s="424"/>
      <c r="O166" s="424"/>
      <c r="P166" s="424"/>
      <c r="Q166" s="424"/>
      <c r="R166" s="424"/>
      <c r="S166" s="424"/>
      <c r="T166" s="483"/>
      <c r="U166" s="483">
        <f>+AVERAGE(U167:U170)</f>
        <v>0.35</v>
      </c>
      <c r="V166" s="483"/>
      <c r="W166" s="483">
        <f>+(W167+W168+W169+W170)*E166</f>
        <v>1.6E-2</v>
      </c>
      <c r="X166" s="438"/>
      <c r="Y166" s="499">
        <f>+AVERAGE(Y167:Y170)</f>
        <v>0.16250000000000001</v>
      </c>
      <c r="Z166" s="438">
        <f>+(Z167+Z168+Z169+Z170)*E166</f>
        <v>0</v>
      </c>
      <c r="AA166" s="499">
        <f>+(AA167+AA168+AA169+AA170)</f>
        <v>0.16999999999999998</v>
      </c>
      <c r="AB166" s="132"/>
      <c r="AC166" s="714" t="s">
        <v>1850</v>
      </c>
      <c r="AD166" s="714" t="s">
        <v>1862</v>
      </c>
      <c r="AE166" s="106"/>
      <c r="AF166" s="106"/>
    </row>
    <row r="167" spans="1:32" ht="93.6" customHeight="1" thickBot="1" x14ac:dyDescent="0.4">
      <c r="A167" s="233"/>
      <c r="B167" s="894" t="s">
        <v>286</v>
      </c>
      <c r="C167" s="894" t="s">
        <v>287</v>
      </c>
      <c r="D167" s="390" t="s">
        <v>58</v>
      </c>
      <c r="E167" s="286">
        <v>0.3</v>
      </c>
      <c r="F167" s="419">
        <v>4</v>
      </c>
      <c r="G167" s="420">
        <v>0</v>
      </c>
      <c r="H167" s="421">
        <v>1</v>
      </c>
      <c r="I167" s="422"/>
      <c r="J167" s="425">
        <f t="shared" si="124"/>
        <v>0.25</v>
      </c>
      <c r="K167" s="422">
        <f>+(G167/F167)*E167</f>
        <v>0</v>
      </c>
      <c r="L167" s="425">
        <f t="shared" si="126"/>
        <v>7.4999999999999997E-2</v>
      </c>
      <c r="M167" s="420"/>
      <c r="N167" s="481">
        <v>0</v>
      </c>
      <c r="O167" s="481">
        <v>0</v>
      </c>
      <c r="P167" s="481">
        <v>0</v>
      </c>
      <c r="Q167" s="421"/>
      <c r="R167" s="421">
        <f t="shared" si="127"/>
        <v>0</v>
      </c>
      <c r="S167" s="421">
        <f t="shared" si="129"/>
        <v>0</v>
      </c>
      <c r="T167" s="422"/>
      <c r="U167" s="425">
        <f t="shared" si="138"/>
        <v>0</v>
      </c>
      <c r="V167" s="422"/>
      <c r="W167" s="425">
        <f t="shared" si="136"/>
        <v>0</v>
      </c>
      <c r="X167" s="442"/>
      <c r="Y167" s="443">
        <f t="shared" si="135"/>
        <v>0</v>
      </c>
      <c r="Z167" s="442"/>
      <c r="AA167" s="443">
        <f t="shared" ref="AA167:AA169" si="139">+Y167*E167</f>
        <v>0</v>
      </c>
      <c r="AB167" s="139" t="s">
        <v>1775</v>
      </c>
      <c r="AC167" s="707" t="s">
        <v>1798</v>
      </c>
      <c r="AD167" s="704" t="s">
        <v>1860</v>
      </c>
      <c r="AE167" s="106"/>
      <c r="AF167" s="106"/>
    </row>
    <row r="168" spans="1:32" ht="131.4" customHeight="1" thickBot="1" x14ac:dyDescent="0.4">
      <c r="A168" s="233"/>
      <c r="B168" s="894" t="s">
        <v>288</v>
      </c>
      <c r="C168" s="894" t="s">
        <v>289</v>
      </c>
      <c r="D168" s="390" t="s">
        <v>58</v>
      </c>
      <c r="E168" s="286">
        <v>0.3</v>
      </c>
      <c r="F168" s="419">
        <v>1</v>
      </c>
      <c r="G168" s="420">
        <v>0</v>
      </c>
      <c r="H168" s="421">
        <v>1</v>
      </c>
      <c r="I168" s="422"/>
      <c r="J168" s="425">
        <f t="shared" si="124"/>
        <v>1</v>
      </c>
      <c r="K168" s="422">
        <f>+(G168/F168)*E168</f>
        <v>0</v>
      </c>
      <c r="L168" s="425">
        <f t="shared" si="126"/>
        <v>0.3</v>
      </c>
      <c r="M168" s="420"/>
      <c r="N168" s="481">
        <v>0</v>
      </c>
      <c r="O168" s="481">
        <v>0.2</v>
      </c>
      <c r="P168" s="481">
        <v>0.2</v>
      </c>
      <c r="Q168" s="421"/>
      <c r="R168" s="421">
        <f>+N168+O168+P168+Q168</f>
        <v>0.4</v>
      </c>
      <c r="S168" s="421">
        <f>+R168+M168</f>
        <v>0.4</v>
      </c>
      <c r="T168" s="422"/>
      <c r="U168" s="425">
        <f>+R168/H168</f>
        <v>0.4</v>
      </c>
      <c r="V168" s="422"/>
      <c r="W168" s="425">
        <f t="shared" si="136"/>
        <v>0.12</v>
      </c>
      <c r="X168" s="442"/>
      <c r="Y168" s="443">
        <f t="shared" si="135"/>
        <v>0.4</v>
      </c>
      <c r="Z168" s="442"/>
      <c r="AA168" s="443">
        <f t="shared" si="139"/>
        <v>0.12</v>
      </c>
      <c r="AB168" s="139" t="s">
        <v>1775</v>
      </c>
      <c r="AC168" s="707" t="s">
        <v>1798</v>
      </c>
      <c r="AD168" s="704" t="s">
        <v>1860</v>
      </c>
      <c r="AE168" s="106"/>
      <c r="AF168" s="106"/>
    </row>
    <row r="169" spans="1:32" ht="131.4" customHeight="1" thickBot="1" x14ac:dyDescent="0.4">
      <c r="A169" s="233"/>
      <c r="B169" s="894" t="s">
        <v>290</v>
      </c>
      <c r="C169" s="894" t="s">
        <v>291</v>
      </c>
      <c r="D169" s="390" t="s">
        <v>58</v>
      </c>
      <c r="E169" s="286">
        <v>0.2</v>
      </c>
      <c r="F169" s="419">
        <v>4</v>
      </c>
      <c r="G169" s="420">
        <v>0</v>
      </c>
      <c r="H169" s="421">
        <v>1</v>
      </c>
      <c r="I169" s="422"/>
      <c r="J169" s="425">
        <f t="shared" si="124"/>
        <v>0.25</v>
      </c>
      <c r="K169" s="422">
        <f t="shared" ref="K169:K170" si="140">+(G169/F169)*E169</f>
        <v>0</v>
      </c>
      <c r="L169" s="425">
        <f t="shared" si="126"/>
        <v>0.05</v>
      </c>
      <c r="M169" s="420"/>
      <c r="N169" s="481">
        <v>0</v>
      </c>
      <c r="O169" s="481">
        <v>1</v>
      </c>
      <c r="P169" s="481">
        <v>0</v>
      </c>
      <c r="Q169" s="421"/>
      <c r="R169" s="421">
        <f t="shared" si="127"/>
        <v>1</v>
      </c>
      <c r="S169" s="421">
        <f t="shared" si="129"/>
        <v>1</v>
      </c>
      <c r="T169" s="422"/>
      <c r="U169" s="425">
        <v>1</v>
      </c>
      <c r="V169" s="422"/>
      <c r="W169" s="425">
        <f t="shared" si="136"/>
        <v>0.2</v>
      </c>
      <c r="X169" s="442"/>
      <c r="Y169" s="443">
        <f t="shared" si="135"/>
        <v>0.25</v>
      </c>
      <c r="Z169" s="442"/>
      <c r="AA169" s="443">
        <f t="shared" si="139"/>
        <v>0.05</v>
      </c>
      <c r="AB169" s="139" t="s">
        <v>1775</v>
      </c>
      <c r="AC169" s="707" t="s">
        <v>1798</v>
      </c>
      <c r="AD169" s="704" t="s">
        <v>1860</v>
      </c>
      <c r="AE169" s="106"/>
      <c r="AF169" s="106"/>
    </row>
    <row r="170" spans="1:32" ht="131.4" customHeight="1" thickBot="1" x14ac:dyDescent="0.4">
      <c r="A170" s="233"/>
      <c r="B170" s="894" t="s">
        <v>292</v>
      </c>
      <c r="C170" s="894" t="s">
        <v>293</v>
      </c>
      <c r="D170" s="390" t="s">
        <v>58</v>
      </c>
      <c r="E170" s="286">
        <v>0.2</v>
      </c>
      <c r="F170" s="419">
        <v>1</v>
      </c>
      <c r="G170" s="420">
        <v>0</v>
      </c>
      <c r="H170" s="421">
        <v>1</v>
      </c>
      <c r="I170" s="422"/>
      <c r="J170" s="425">
        <f t="shared" si="124"/>
        <v>1</v>
      </c>
      <c r="K170" s="422">
        <f t="shared" si="140"/>
        <v>0</v>
      </c>
      <c r="L170" s="425">
        <f t="shared" si="126"/>
        <v>0.2</v>
      </c>
      <c r="M170" s="420"/>
      <c r="N170" s="481">
        <v>0</v>
      </c>
      <c r="O170" s="481">
        <v>0</v>
      </c>
      <c r="P170" s="481">
        <v>0</v>
      </c>
      <c r="Q170" s="421"/>
      <c r="R170" s="421">
        <f t="shared" si="127"/>
        <v>0</v>
      </c>
      <c r="S170" s="421">
        <f t="shared" si="129"/>
        <v>0</v>
      </c>
      <c r="T170" s="422"/>
      <c r="U170" s="425">
        <f t="shared" si="138"/>
        <v>0</v>
      </c>
      <c r="V170" s="422"/>
      <c r="W170" s="425">
        <f t="shared" si="136"/>
        <v>0</v>
      </c>
      <c r="X170" s="442"/>
      <c r="Y170" s="511">
        <f t="shared" si="135"/>
        <v>0</v>
      </c>
      <c r="Z170" s="442"/>
      <c r="AA170" s="443">
        <f>+Y170*E170</f>
        <v>0</v>
      </c>
      <c r="AB170" s="139" t="s">
        <v>1775</v>
      </c>
      <c r="AC170" s="707" t="s">
        <v>1798</v>
      </c>
      <c r="AD170" s="704" t="s">
        <v>1860</v>
      </c>
      <c r="AE170" s="106"/>
      <c r="AF170" s="106"/>
    </row>
    <row r="171" spans="1:32" ht="93.6" customHeight="1" thickBot="1" x14ac:dyDescent="0.45">
      <c r="A171" s="233"/>
      <c r="B171" s="947" t="s">
        <v>294</v>
      </c>
      <c r="C171" s="945"/>
      <c r="D171" s="387"/>
      <c r="E171" s="427">
        <v>0.15</v>
      </c>
      <c r="F171" s="427">
        <f>+E171*V171</f>
        <v>9.5333068181818179E-2</v>
      </c>
      <c r="G171" s="418"/>
      <c r="H171" s="427">
        <f>E171*W171</f>
        <v>7.5192779250841474E-2</v>
      </c>
      <c r="I171" s="412">
        <f>+(I172+I175+I179+I184+I186+I192+I195+I199+I203+I206+I209)/11</f>
        <v>0.15789568518161531</v>
      </c>
      <c r="J171" s="412">
        <f>+(J172+J175+J179+J184+J186+J192+J195+J199+J203+J206+J209)/10</f>
        <v>0.34922096249585222</v>
      </c>
      <c r="K171" s="413">
        <f>+(K172+K175+K179+K184+K186+K192+K195+K199+K203+K206+K209)/11</f>
        <v>0.13500023925638274</v>
      </c>
      <c r="L171" s="413">
        <f>+(L172+L175+L179+L184+L186+L192+L195+L199+L203+L206+L209)/11</f>
        <v>0.29944978534279126</v>
      </c>
      <c r="M171" s="418"/>
      <c r="N171" s="424"/>
      <c r="O171" s="424"/>
      <c r="P171" s="424"/>
      <c r="Q171" s="424"/>
      <c r="R171" s="424"/>
      <c r="S171" s="424"/>
      <c r="T171" s="412">
        <f>+(T172+T175+T179+T184+T186+T192+T195+T199+T203+T206+T209)/11</f>
        <v>0.7831160468319559</v>
      </c>
      <c r="U171" s="412">
        <f>+(U172+U175+U179+U184+U186+U192+U195+U199+U203+U206+U209)/11</f>
        <v>0.61600219093242936</v>
      </c>
      <c r="V171" s="413">
        <f>+V172+V175+V179+V184+V186+V192+V195+V199+V203+V206+V209</f>
        <v>0.63555378787878791</v>
      </c>
      <c r="W171" s="413">
        <f>+W172+W175+W179+W184+W186+W192+W195+W199+W203+W206+W209</f>
        <v>0.50128519500560986</v>
      </c>
      <c r="X171" s="502">
        <f>+(X172+X175+X179+X184+X186+X192+X195+X199+X203+X206+X209)/11</f>
        <v>0.17228948927894114</v>
      </c>
      <c r="Y171" s="516">
        <f>+(Y172+Y175+Y179+Y184+Y186+Y192+Y195+Y199+Y203+Y206+Y209)/11</f>
        <v>0.35719720727859189</v>
      </c>
      <c r="Z171" s="497">
        <f>+Z172+Z175+Z179+Z184+Z186+Z192+Z195+Z199+Z203+Z206+Z209</f>
        <v>0.14750248083618644</v>
      </c>
      <c r="AA171" s="615">
        <f>+(AA172*E172)+(AA175*E175)+(AA179*E179)+(AA184*E184)+(AA186*E186)+(AA192*E192)+(AA195*E195)+(AA199*E199)+(AA203*E203)+(AA206*E206)+(AA209*E209)</f>
        <v>0.35812002413417321</v>
      </c>
      <c r="AB171" s="124"/>
      <c r="AC171" s="661" t="s">
        <v>1844</v>
      </c>
      <c r="AD171" s="388"/>
      <c r="AE171" s="106"/>
      <c r="AF171" s="106"/>
    </row>
    <row r="172" spans="1:32" ht="57" customHeight="1" thickBot="1" x14ac:dyDescent="0.45">
      <c r="A172" s="233"/>
      <c r="B172" s="946" t="s">
        <v>1547</v>
      </c>
      <c r="C172" s="945"/>
      <c r="D172" s="389"/>
      <c r="E172" s="415">
        <v>0.05</v>
      </c>
      <c r="F172" s="419"/>
      <c r="G172" s="418"/>
      <c r="H172" s="424"/>
      <c r="I172" s="417">
        <f>+AVERAGE(I173:I174)</f>
        <v>0.125</v>
      </c>
      <c r="J172" s="417">
        <f>+AVERAGE(J173:J174)</f>
        <v>0.33096590909090906</v>
      </c>
      <c r="K172" s="417">
        <f>+K173+K174</f>
        <v>8.7499999999999994E-2</v>
      </c>
      <c r="L172" s="417">
        <f>+L173+L174</f>
        <v>0.33607954545454544</v>
      </c>
      <c r="M172" s="418"/>
      <c r="N172" s="424"/>
      <c r="O172" s="424"/>
      <c r="P172" s="424"/>
      <c r="Q172" s="424"/>
      <c r="R172" s="424"/>
      <c r="S172" s="424"/>
      <c r="T172" s="483">
        <f>+AVERAGE(T173:T174)</f>
        <v>1</v>
      </c>
      <c r="U172" s="483">
        <f>+AVERAGE(U173:U174)</f>
        <v>0.63763636363636367</v>
      </c>
      <c r="V172" s="483">
        <f>+(V173+V174)*E172</f>
        <v>3.4999999999999996E-2</v>
      </c>
      <c r="W172" s="483">
        <f>+(W173+W174)*E172</f>
        <v>2.8634545454545458E-2</v>
      </c>
      <c r="X172" s="438">
        <f>+AVERAGE(X173:X174)</f>
        <v>0.161</v>
      </c>
      <c r="Y172" s="508">
        <f>+AVERAGE(Y173:Y174)</f>
        <v>0.28946022727272724</v>
      </c>
      <c r="Z172" s="438">
        <f>+(Z173+Z174)*E172</f>
        <v>5.6350000000000003E-3</v>
      </c>
      <c r="AA172" s="499">
        <f>+(AA173+AA174)</f>
        <v>0.30342613636363636</v>
      </c>
      <c r="AB172" s="132"/>
      <c r="AC172" s="388"/>
      <c r="AD172" s="388"/>
      <c r="AE172" s="106"/>
      <c r="AF172" s="106"/>
    </row>
    <row r="173" spans="1:32" ht="103.2" customHeight="1" thickBot="1" x14ac:dyDescent="0.4">
      <c r="A173" s="233"/>
      <c r="B173" s="894" t="s">
        <v>295</v>
      </c>
      <c r="C173" s="894" t="s">
        <v>296</v>
      </c>
      <c r="D173" s="390" t="s">
        <v>297</v>
      </c>
      <c r="E173" s="286">
        <v>0.7</v>
      </c>
      <c r="F173" s="419">
        <v>16000</v>
      </c>
      <c r="G173" s="420">
        <v>2000</v>
      </c>
      <c r="H173" s="421">
        <v>5500</v>
      </c>
      <c r="I173" s="422">
        <f>+G173/F173</f>
        <v>0.125</v>
      </c>
      <c r="J173" s="425">
        <f t="shared" ref="J173:J177" si="141">+H173/F173</f>
        <v>0.34375</v>
      </c>
      <c r="K173" s="422">
        <f>+(G173/F173)*E173</f>
        <v>8.7499999999999994E-2</v>
      </c>
      <c r="L173" s="425">
        <f t="shared" ref="L173:L193" si="142">+(H173/F173)*E173</f>
        <v>0.24062499999999998</v>
      </c>
      <c r="M173" s="420">
        <v>2576</v>
      </c>
      <c r="N173" s="481">
        <v>939</v>
      </c>
      <c r="O173" s="481">
        <v>807</v>
      </c>
      <c r="P173" s="481">
        <v>868</v>
      </c>
      <c r="Q173" s="421"/>
      <c r="R173" s="421">
        <f t="shared" ref="R173:R211" si="143">+N173+O173+P173+Q173</f>
        <v>2614</v>
      </c>
      <c r="S173" s="421">
        <f t="shared" ref="S173:S211" si="144">+R173+M173</f>
        <v>5190</v>
      </c>
      <c r="T173" s="422">
        <v>1</v>
      </c>
      <c r="U173" s="425">
        <f t="shared" ref="U173:U211" si="145">+R173/H173</f>
        <v>0.47527272727272729</v>
      </c>
      <c r="V173" s="422">
        <f>+T173*E173</f>
        <v>0.7</v>
      </c>
      <c r="W173" s="425">
        <f t="shared" ref="W173" si="146">+U173*E173</f>
        <v>0.33269090909090909</v>
      </c>
      <c r="X173" s="442">
        <f>+M173/F173</f>
        <v>0.161</v>
      </c>
      <c r="Y173" s="510">
        <f t="shared" ref="Y173:Y211" si="147">+S173/F173</f>
        <v>0.32437500000000002</v>
      </c>
      <c r="Z173" s="442">
        <f>+X173*E173</f>
        <v>0.11269999999999999</v>
      </c>
      <c r="AA173" s="443">
        <f>+Y173*E173</f>
        <v>0.2270625</v>
      </c>
      <c r="AB173" s="139" t="s">
        <v>1775</v>
      </c>
      <c r="AC173" s="659" t="s">
        <v>1798</v>
      </c>
      <c r="AD173" s="659" t="s">
        <v>1860</v>
      </c>
      <c r="AE173" s="106"/>
      <c r="AF173" s="106"/>
    </row>
    <row r="174" spans="1:32" ht="97.2" customHeight="1" thickBot="1" x14ac:dyDescent="0.4">
      <c r="A174" s="233"/>
      <c r="B174" s="894" t="s">
        <v>298</v>
      </c>
      <c r="C174" s="894" t="s">
        <v>299</v>
      </c>
      <c r="D174" s="390" t="s">
        <v>297</v>
      </c>
      <c r="E174" s="286">
        <v>0.3</v>
      </c>
      <c r="F174" s="419">
        <v>2200</v>
      </c>
      <c r="G174" s="420">
        <v>0</v>
      </c>
      <c r="H174" s="421">
        <v>700</v>
      </c>
      <c r="I174" s="422"/>
      <c r="J174" s="425">
        <f t="shared" si="141"/>
        <v>0.31818181818181818</v>
      </c>
      <c r="K174" s="422"/>
      <c r="L174" s="425">
        <f t="shared" si="142"/>
        <v>9.5454545454545445E-2</v>
      </c>
      <c r="M174" s="420"/>
      <c r="N174" s="481">
        <v>9</v>
      </c>
      <c r="O174" s="481">
        <v>221</v>
      </c>
      <c r="P174" s="481">
        <v>330</v>
      </c>
      <c r="Q174" s="421"/>
      <c r="R174" s="421">
        <f t="shared" si="143"/>
        <v>560</v>
      </c>
      <c r="S174" s="421">
        <f t="shared" si="144"/>
        <v>560</v>
      </c>
      <c r="T174" s="422"/>
      <c r="U174" s="425">
        <f t="shared" si="145"/>
        <v>0.8</v>
      </c>
      <c r="V174" s="422"/>
      <c r="W174" s="425">
        <f>+U174*E174</f>
        <v>0.24</v>
      </c>
      <c r="X174" s="442"/>
      <c r="Y174" s="517">
        <f t="shared" si="147"/>
        <v>0.25454545454545452</v>
      </c>
      <c r="Z174" s="442"/>
      <c r="AA174" s="504">
        <f>+Y174*E174</f>
        <v>7.6363636363636356E-2</v>
      </c>
      <c r="AB174" s="139" t="s">
        <v>1775</v>
      </c>
      <c r="AC174" s="661" t="s">
        <v>1824</v>
      </c>
      <c r="AD174" s="659" t="s">
        <v>1860</v>
      </c>
      <c r="AE174" s="106"/>
      <c r="AF174" s="106"/>
    </row>
    <row r="175" spans="1:32" ht="87" customHeight="1" thickBot="1" x14ac:dyDescent="0.45">
      <c r="A175" s="233"/>
      <c r="B175" s="946" t="s">
        <v>1548</v>
      </c>
      <c r="C175" s="945"/>
      <c r="D175" s="389"/>
      <c r="E175" s="415">
        <v>0.1</v>
      </c>
      <c r="F175" s="419"/>
      <c r="G175" s="420"/>
      <c r="H175" s="430"/>
      <c r="I175" s="417">
        <f>+AVERAGE(I176:I178)</f>
        <v>0.30833333333333335</v>
      </c>
      <c r="J175" s="417">
        <f>+AVERAGE(J176:J178)</f>
        <v>0.48893333333333339</v>
      </c>
      <c r="K175" s="417">
        <f>+K176+K177+K178</f>
        <v>0.20500000000000002</v>
      </c>
      <c r="L175" s="417">
        <f>+L176+L177+L178</f>
        <v>0.46671999999999997</v>
      </c>
      <c r="M175" s="418"/>
      <c r="N175" s="424"/>
      <c r="O175" s="424"/>
      <c r="P175" s="424"/>
      <c r="Q175" s="424"/>
      <c r="R175" s="424"/>
      <c r="S175" s="424"/>
      <c r="T175" s="483">
        <f>+AVERAGE(T176:T178)</f>
        <v>1</v>
      </c>
      <c r="U175" s="483">
        <f>+AVERAGE(U176:U178)</f>
        <v>0.92228885557221396</v>
      </c>
      <c r="V175" s="483">
        <f>+(V176+V177+V178)*E175</f>
        <v>6.9999999999999993E-2</v>
      </c>
      <c r="W175" s="483">
        <f>+(W176+W177+W178)*E175</f>
        <v>9.0674662668665668E-2</v>
      </c>
      <c r="X175" s="438">
        <f>+AVERAGE(X176:X178)</f>
        <v>0.383075</v>
      </c>
      <c r="Y175" s="508">
        <f>+AVERAGE(Y176:Y178)</f>
        <v>0.73288888888888881</v>
      </c>
      <c r="Z175" s="438">
        <f>+(Z176+Z177+Z178)*E175</f>
        <v>2.6718500000000003E-2</v>
      </c>
      <c r="AA175" s="499">
        <f>+(AA176+AA177+AA178)</f>
        <v>0.71740000000000004</v>
      </c>
      <c r="AB175" s="132"/>
      <c r="AC175" s="388"/>
      <c r="AD175" s="388"/>
      <c r="AE175" s="106"/>
      <c r="AF175" s="106"/>
    </row>
    <row r="176" spans="1:32" ht="135" customHeight="1" thickBot="1" x14ac:dyDescent="0.4">
      <c r="A176" s="233"/>
      <c r="B176" s="894" t="s">
        <v>300</v>
      </c>
      <c r="C176" s="894" t="s">
        <v>301</v>
      </c>
      <c r="D176" s="390" t="s">
        <v>297</v>
      </c>
      <c r="E176" s="286">
        <v>0.4</v>
      </c>
      <c r="F176" s="419">
        <v>5000</v>
      </c>
      <c r="G176" s="431">
        <v>1000</v>
      </c>
      <c r="H176" s="486">
        <v>1334</v>
      </c>
      <c r="I176" s="422">
        <f>+G176/F176</f>
        <v>0.2</v>
      </c>
      <c r="J176" s="425">
        <f>+H176/F176</f>
        <v>0.26679999999999998</v>
      </c>
      <c r="K176" s="422">
        <f>+(G176/F176)*E176</f>
        <v>8.0000000000000016E-2</v>
      </c>
      <c r="L176" s="425">
        <f t="shared" si="142"/>
        <v>0.10672</v>
      </c>
      <c r="M176" s="420">
        <v>1867</v>
      </c>
      <c r="N176" s="481">
        <v>618</v>
      </c>
      <c r="O176" s="481">
        <v>356</v>
      </c>
      <c r="P176" s="481">
        <v>49</v>
      </c>
      <c r="Q176" s="421"/>
      <c r="R176" s="421">
        <f t="shared" si="143"/>
        <v>1023</v>
      </c>
      <c r="S176" s="421">
        <f t="shared" si="144"/>
        <v>2890</v>
      </c>
      <c r="T176" s="422">
        <v>1</v>
      </c>
      <c r="U176" s="425">
        <f t="shared" si="145"/>
        <v>0.76686656671664166</v>
      </c>
      <c r="V176" s="422">
        <f>+T176*E176</f>
        <v>0.4</v>
      </c>
      <c r="W176" s="425">
        <f t="shared" ref="W176:W208" si="148">+U176*E176</f>
        <v>0.3067466266866567</v>
      </c>
      <c r="X176" s="442">
        <f>+M176/F176</f>
        <v>0.37340000000000001</v>
      </c>
      <c r="Y176" s="510">
        <f t="shared" si="147"/>
        <v>0.57799999999999996</v>
      </c>
      <c r="Z176" s="442">
        <f>+X176*E176</f>
        <v>0.14936000000000002</v>
      </c>
      <c r="AA176" s="443">
        <f>+Y176*E176</f>
        <v>0.23119999999999999</v>
      </c>
      <c r="AB176" s="139" t="s">
        <v>1775</v>
      </c>
      <c r="AC176" s="659" t="s">
        <v>1798</v>
      </c>
      <c r="AD176" s="659" t="s">
        <v>1860</v>
      </c>
      <c r="AE176" s="106"/>
      <c r="AF176" s="106"/>
    </row>
    <row r="177" spans="1:32" ht="135" customHeight="1" thickBot="1" x14ac:dyDescent="0.4">
      <c r="A177" s="233"/>
      <c r="B177" s="894" t="s">
        <v>302</v>
      </c>
      <c r="C177" s="894" t="s">
        <v>303</v>
      </c>
      <c r="D177" s="390" t="s">
        <v>297</v>
      </c>
      <c r="E177" s="286">
        <v>0.3</v>
      </c>
      <c r="F177" s="419">
        <v>12000</v>
      </c>
      <c r="G177" s="431">
        <v>5000</v>
      </c>
      <c r="H177" s="486">
        <v>2400</v>
      </c>
      <c r="I177" s="422">
        <f>+G177/F177</f>
        <v>0.41666666666666669</v>
      </c>
      <c r="J177" s="425">
        <f t="shared" si="141"/>
        <v>0.2</v>
      </c>
      <c r="K177" s="422">
        <f>+(G177/F177)*E177</f>
        <v>0.125</v>
      </c>
      <c r="L177" s="425">
        <f t="shared" si="142"/>
        <v>0.06</v>
      </c>
      <c r="M177" s="420">
        <v>4713</v>
      </c>
      <c r="N177" s="481">
        <v>626</v>
      </c>
      <c r="O177" s="481">
        <v>1377</v>
      </c>
      <c r="P177" s="481">
        <v>732</v>
      </c>
      <c r="Q177" s="421"/>
      <c r="R177" s="421">
        <f t="shared" si="143"/>
        <v>2735</v>
      </c>
      <c r="S177" s="421">
        <f t="shared" si="144"/>
        <v>7448</v>
      </c>
      <c r="T177" s="422">
        <v>1</v>
      </c>
      <c r="U177" s="425">
        <v>1</v>
      </c>
      <c r="V177" s="422">
        <f>+T177*E177</f>
        <v>0.3</v>
      </c>
      <c r="W177" s="425">
        <f t="shared" si="148"/>
        <v>0.3</v>
      </c>
      <c r="X177" s="442">
        <f>+M177/F177</f>
        <v>0.39274999999999999</v>
      </c>
      <c r="Y177" s="443">
        <f t="shared" si="147"/>
        <v>0.6206666666666667</v>
      </c>
      <c r="Z177" s="442">
        <f>+X177*E177</f>
        <v>0.11782499999999999</v>
      </c>
      <c r="AA177" s="443">
        <f>+Y177*E177</f>
        <v>0.1862</v>
      </c>
      <c r="AB177" s="139" t="s">
        <v>1775</v>
      </c>
      <c r="AC177" s="659" t="s">
        <v>1798</v>
      </c>
      <c r="AD177" s="659" t="s">
        <v>1860</v>
      </c>
      <c r="AE177" s="106"/>
      <c r="AF177" s="106"/>
    </row>
    <row r="178" spans="1:32" ht="135" customHeight="1" thickBot="1" x14ac:dyDescent="0.4">
      <c r="A178" s="233"/>
      <c r="B178" s="894" t="s">
        <v>304</v>
      </c>
      <c r="C178" s="894" t="s">
        <v>305</v>
      </c>
      <c r="D178" s="390" t="s">
        <v>297</v>
      </c>
      <c r="E178" s="286">
        <v>0.3</v>
      </c>
      <c r="F178" s="419">
        <v>1</v>
      </c>
      <c r="G178" s="431">
        <v>0</v>
      </c>
      <c r="H178" s="827">
        <v>1</v>
      </c>
      <c r="I178" s="422"/>
      <c r="J178" s="425">
        <f>+H178/F178</f>
        <v>1</v>
      </c>
      <c r="K178" s="422"/>
      <c r="L178" s="425">
        <f t="shared" si="142"/>
        <v>0.3</v>
      </c>
      <c r="M178" s="420"/>
      <c r="N178" s="481">
        <v>0</v>
      </c>
      <c r="O178" s="481">
        <v>1</v>
      </c>
      <c r="P178" s="481">
        <v>0</v>
      </c>
      <c r="Q178" s="421"/>
      <c r="R178" s="421">
        <f t="shared" si="143"/>
        <v>1</v>
      </c>
      <c r="S178" s="421">
        <f t="shared" si="144"/>
        <v>1</v>
      </c>
      <c r="T178" s="422"/>
      <c r="U178" s="425">
        <f t="shared" si="145"/>
        <v>1</v>
      </c>
      <c r="V178" s="422"/>
      <c r="W178" s="425">
        <f t="shared" si="148"/>
        <v>0.3</v>
      </c>
      <c r="X178" s="442"/>
      <c r="Y178" s="443">
        <f t="shared" si="147"/>
        <v>1</v>
      </c>
      <c r="Z178" s="442"/>
      <c r="AA178" s="443">
        <f>+Y178*E178</f>
        <v>0.3</v>
      </c>
      <c r="AB178" s="139" t="s">
        <v>1775</v>
      </c>
      <c r="AC178" s="661" t="s">
        <v>1824</v>
      </c>
      <c r="AD178" s="659" t="s">
        <v>1860</v>
      </c>
      <c r="AE178" s="106"/>
      <c r="AF178" s="106"/>
    </row>
    <row r="179" spans="1:32" ht="135" customHeight="1" thickBot="1" x14ac:dyDescent="0.45">
      <c r="A179" s="233"/>
      <c r="B179" s="946" t="s">
        <v>1549</v>
      </c>
      <c r="C179" s="945"/>
      <c r="D179" s="389"/>
      <c r="E179" s="415">
        <v>0.1</v>
      </c>
      <c r="F179" s="419"/>
      <c r="G179" s="420"/>
      <c r="H179" s="464"/>
      <c r="I179" s="417">
        <f>+AVERAGE(I180:I183)</f>
        <v>0.1752103260310604</v>
      </c>
      <c r="J179" s="417">
        <f>+AVERAGE(J180:J183)</f>
        <v>0.31178031471767975</v>
      </c>
      <c r="K179" s="417">
        <f>+K180+K181+K182+K183</f>
        <v>0.17445397511056257</v>
      </c>
      <c r="L179" s="417">
        <f>+L180+L181+L182+L183</f>
        <v>0.31513853748842946</v>
      </c>
      <c r="M179" s="420"/>
      <c r="N179" s="421"/>
      <c r="O179" s="421"/>
      <c r="P179" s="421"/>
      <c r="Q179" s="421"/>
      <c r="R179" s="421"/>
      <c r="S179" s="421"/>
      <c r="T179" s="483">
        <f>+AVERAGE(T180:T183)</f>
        <v>0.62594318181818176</v>
      </c>
      <c r="U179" s="483">
        <f>+AVERAGE(U180:U183)</f>
        <v>0.58317916666666669</v>
      </c>
      <c r="V179" s="483">
        <f>+(V180+V181+V182+V183)*E179</f>
        <v>6.9720454545454544E-2</v>
      </c>
      <c r="W179" s="483">
        <f>+(W180+W181+W182+W183)*F179</f>
        <v>0</v>
      </c>
      <c r="X179" s="438">
        <f>+AVERAGE(X180:X183)</f>
        <v>0.1083654494497583</v>
      </c>
      <c r="Y179" s="508">
        <f>+AVERAGE(Y180:Y183)</f>
        <v>0.3062008176488738</v>
      </c>
      <c r="Z179" s="438">
        <f>+(Z180+Z181+Z182+Z183)*E179</f>
        <v>1.2047093098837808E-2</v>
      </c>
      <c r="AA179" s="499">
        <f>+(AA180+AA181+AA182+AA183)</f>
        <v>0.33523208269052762</v>
      </c>
      <c r="AB179" s="132"/>
      <c r="AC179" s="388"/>
      <c r="AD179" s="388"/>
      <c r="AE179" s="106"/>
      <c r="AF179" s="106"/>
    </row>
    <row r="180" spans="1:32" ht="135" customHeight="1" thickBot="1" x14ac:dyDescent="0.4">
      <c r="A180" s="233"/>
      <c r="B180" s="894" t="s">
        <v>306</v>
      </c>
      <c r="C180" s="894" t="s">
        <v>307</v>
      </c>
      <c r="D180" s="390" t="s">
        <v>297</v>
      </c>
      <c r="E180" s="286">
        <v>0.2</v>
      </c>
      <c r="F180" s="419">
        <v>5556</v>
      </c>
      <c r="G180" s="420">
        <v>1100</v>
      </c>
      <c r="H180" s="421">
        <v>1500</v>
      </c>
      <c r="I180" s="422">
        <f>+G180/F180</f>
        <v>0.19798416126709864</v>
      </c>
      <c r="J180" s="425">
        <f t="shared" ref="J180:J193" si="149">+H180/F180</f>
        <v>0.26997840172786175</v>
      </c>
      <c r="K180" s="422">
        <f>+(G180/F180)*E180</f>
        <v>3.9596832253419728E-2</v>
      </c>
      <c r="L180" s="425">
        <f t="shared" si="142"/>
        <v>5.3995680345572353E-2</v>
      </c>
      <c r="M180" s="420">
        <v>272</v>
      </c>
      <c r="N180" s="495">
        <v>402</v>
      </c>
      <c r="O180" s="495">
        <v>91</v>
      </c>
      <c r="P180" s="495">
        <v>0</v>
      </c>
      <c r="Q180" s="421"/>
      <c r="R180" s="421">
        <f>+N180+O180+P180+Q180</f>
        <v>493</v>
      </c>
      <c r="S180" s="421">
        <f>+R180+M180</f>
        <v>765</v>
      </c>
      <c r="T180" s="422">
        <f>+(M180/G180)</f>
        <v>0.24727272727272728</v>
      </c>
      <c r="U180" s="425">
        <f t="shared" si="145"/>
        <v>0.32866666666666666</v>
      </c>
      <c r="V180" s="422">
        <f>+T180*E180</f>
        <v>4.9454545454545459E-2</v>
      </c>
      <c r="W180" s="425">
        <f t="shared" si="148"/>
        <v>6.5733333333333338E-2</v>
      </c>
      <c r="X180" s="442">
        <f>+M180/F180</f>
        <v>4.8956083513318933E-2</v>
      </c>
      <c r="Y180" s="510">
        <f t="shared" si="147"/>
        <v>0.13768898488120951</v>
      </c>
      <c r="Z180" s="442">
        <f>+X180*E180</f>
        <v>9.7912167026637867E-3</v>
      </c>
      <c r="AA180" s="443">
        <f>+Y180*E180</f>
        <v>2.7537796976241903E-2</v>
      </c>
      <c r="AB180" s="139" t="s">
        <v>1775</v>
      </c>
      <c r="AC180" s="659" t="s">
        <v>1798</v>
      </c>
      <c r="AD180" s="659" t="s">
        <v>1860</v>
      </c>
      <c r="AE180" s="106"/>
      <c r="AF180" s="106"/>
    </row>
    <row r="181" spans="1:32" ht="135" customHeight="1" thickBot="1" x14ac:dyDescent="0.4">
      <c r="A181" s="233"/>
      <c r="B181" s="894" t="s">
        <v>308</v>
      </c>
      <c r="C181" s="894" t="s">
        <v>309</v>
      </c>
      <c r="D181" s="390" t="s">
        <v>297</v>
      </c>
      <c r="E181" s="286">
        <v>0.3</v>
      </c>
      <c r="F181" s="419">
        <v>14000</v>
      </c>
      <c r="G181" s="420">
        <v>2000</v>
      </c>
      <c r="H181" s="421">
        <v>5000</v>
      </c>
      <c r="I181" s="422">
        <f>+G181/F181</f>
        <v>0.14285714285714285</v>
      </c>
      <c r="J181" s="425">
        <f t="shared" si="149"/>
        <v>0.35714285714285715</v>
      </c>
      <c r="K181" s="422">
        <f>+(G181/F181)*E181</f>
        <v>4.2857142857142851E-2</v>
      </c>
      <c r="L181" s="425">
        <f t="shared" si="142"/>
        <v>0.10714285714285714</v>
      </c>
      <c r="M181" s="420">
        <v>1929</v>
      </c>
      <c r="N181" s="495">
        <v>145</v>
      </c>
      <c r="O181" s="495">
        <v>1059</v>
      </c>
      <c r="P181" s="495">
        <v>1665</v>
      </c>
      <c r="Q181" s="421"/>
      <c r="R181" s="421">
        <f t="shared" si="143"/>
        <v>2869</v>
      </c>
      <c r="S181" s="421">
        <f t="shared" si="144"/>
        <v>4798</v>
      </c>
      <c r="T181" s="422">
        <f>+(M181/G181)</f>
        <v>0.96450000000000002</v>
      </c>
      <c r="U181" s="425">
        <f t="shared" si="145"/>
        <v>0.57379999999999998</v>
      </c>
      <c r="V181" s="422">
        <f>+T181*E181</f>
        <v>0.28935</v>
      </c>
      <c r="W181" s="425">
        <f t="shared" si="148"/>
        <v>0.17213999999999999</v>
      </c>
      <c r="X181" s="442">
        <f>+M181/F181</f>
        <v>0.13778571428571429</v>
      </c>
      <c r="Y181" s="443">
        <f t="shared" si="147"/>
        <v>0.34271428571428569</v>
      </c>
      <c r="Z181" s="442">
        <f>+X181*E181</f>
        <v>4.1335714285714288E-2</v>
      </c>
      <c r="AA181" s="443">
        <f>+Y181*E181</f>
        <v>0.10281428571428571</v>
      </c>
      <c r="AB181" s="139" t="s">
        <v>1775</v>
      </c>
      <c r="AC181" s="659" t="s">
        <v>1798</v>
      </c>
      <c r="AD181" s="659" t="s">
        <v>1860</v>
      </c>
      <c r="AE181" s="106"/>
      <c r="AF181" s="106"/>
    </row>
    <row r="182" spans="1:32" ht="135" customHeight="1" thickBot="1" x14ac:dyDescent="0.4">
      <c r="A182" s="233"/>
      <c r="B182" s="894" t="s">
        <v>310</v>
      </c>
      <c r="C182" s="894" t="s">
        <v>311</v>
      </c>
      <c r="D182" s="390" t="s">
        <v>297</v>
      </c>
      <c r="E182" s="286">
        <v>0.2</v>
      </c>
      <c r="F182" s="419">
        <v>25000</v>
      </c>
      <c r="G182" s="420">
        <v>4000</v>
      </c>
      <c r="H182" s="421">
        <v>8000</v>
      </c>
      <c r="I182" s="422">
        <f>+G182/F182</f>
        <v>0.16</v>
      </c>
      <c r="J182" s="425">
        <f t="shared" si="149"/>
        <v>0.32</v>
      </c>
      <c r="K182" s="422">
        <f>+(G182/F182)*E182</f>
        <v>3.2000000000000001E-2</v>
      </c>
      <c r="L182" s="425">
        <f t="shared" si="142"/>
        <v>6.4000000000000001E-2</v>
      </c>
      <c r="M182" s="420">
        <v>1168</v>
      </c>
      <c r="N182" s="495">
        <v>401</v>
      </c>
      <c r="O182" s="495">
        <v>875</v>
      </c>
      <c r="P182" s="495">
        <v>2166</v>
      </c>
      <c r="Q182" s="421"/>
      <c r="R182" s="421">
        <f t="shared" si="143"/>
        <v>3442</v>
      </c>
      <c r="S182" s="421">
        <f t="shared" si="144"/>
        <v>4610</v>
      </c>
      <c r="T182" s="422">
        <f>+(M182/G182)</f>
        <v>0.29199999999999998</v>
      </c>
      <c r="U182" s="425">
        <f t="shared" si="145"/>
        <v>0.43025000000000002</v>
      </c>
      <c r="V182" s="422">
        <f>+T182*E182</f>
        <v>5.8400000000000001E-2</v>
      </c>
      <c r="W182" s="425">
        <f t="shared" si="148"/>
        <v>8.6050000000000015E-2</v>
      </c>
      <c r="X182" s="442">
        <f>+M182/F182</f>
        <v>4.6719999999999998E-2</v>
      </c>
      <c r="Y182" s="443">
        <f t="shared" si="147"/>
        <v>0.18440000000000001</v>
      </c>
      <c r="Z182" s="442">
        <f>+X182*E182</f>
        <v>9.3439999999999999E-3</v>
      </c>
      <c r="AA182" s="443">
        <f>+Y182*E182</f>
        <v>3.6880000000000003E-2</v>
      </c>
      <c r="AB182" s="139" t="s">
        <v>1775</v>
      </c>
      <c r="AC182" s="659" t="s">
        <v>1798</v>
      </c>
      <c r="AD182" s="659" t="s">
        <v>1860</v>
      </c>
      <c r="AE182" s="106"/>
      <c r="AF182" s="106"/>
    </row>
    <row r="183" spans="1:32" ht="135" customHeight="1" thickBot="1" x14ac:dyDescent="0.4">
      <c r="A183" s="233"/>
      <c r="B183" s="894" t="s">
        <v>312</v>
      </c>
      <c r="C183" s="894" t="s">
        <v>313</v>
      </c>
      <c r="D183" s="390" t="s">
        <v>297</v>
      </c>
      <c r="E183" s="286">
        <v>0.3</v>
      </c>
      <c r="F183" s="419">
        <v>50</v>
      </c>
      <c r="G183" s="420">
        <v>10</v>
      </c>
      <c r="H183" s="421">
        <v>15</v>
      </c>
      <c r="I183" s="422">
        <f>+G183/F183</f>
        <v>0.2</v>
      </c>
      <c r="J183" s="425">
        <f t="shared" si="149"/>
        <v>0.3</v>
      </c>
      <c r="K183" s="422">
        <f>+(G183/F183)*E183</f>
        <v>0.06</v>
      </c>
      <c r="L183" s="425">
        <f t="shared" si="142"/>
        <v>0.09</v>
      </c>
      <c r="M183" s="420">
        <v>10</v>
      </c>
      <c r="N183" s="495">
        <v>0</v>
      </c>
      <c r="O183" s="495">
        <v>8</v>
      </c>
      <c r="P183" s="495">
        <v>10</v>
      </c>
      <c r="Q183" s="421"/>
      <c r="R183" s="421">
        <f t="shared" si="143"/>
        <v>18</v>
      </c>
      <c r="S183" s="421">
        <f t="shared" si="144"/>
        <v>28</v>
      </c>
      <c r="T183" s="422">
        <f>+(M183/G183)</f>
        <v>1</v>
      </c>
      <c r="U183" s="425">
        <v>1</v>
      </c>
      <c r="V183" s="422">
        <f>+T183*E183</f>
        <v>0.3</v>
      </c>
      <c r="W183" s="425">
        <f t="shared" si="148"/>
        <v>0.3</v>
      </c>
      <c r="X183" s="442">
        <f>+M183/F183</f>
        <v>0.2</v>
      </c>
      <c r="Y183" s="511">
        <f t="shared" si="147"/>
        <v>0.56000000000000005</v>
      </c>
      <c r="Z183" s="442">
        <f>+X183*E183</f>
        <v>0.06</v>
      </c>
      <c r="AA183" s="443">
        <f>+Y183*E183</f>
        <v>0.16800000000000001</v>
      </c>
      <c r="AB183" s="139" t="s">
        <v>1775</v>
      </c>
      <c r="AC183" s="659" t="s">
        <v>1798</v>
      </c>
      <c r="AD183" s="659" t="s">
        <v>1860</v>
      </c>
      <c r="AE183" s="106"/>
      <c r="AF183" s="106"/>
    </row>
    <row r="184" spans="1:32" ht="135" customHeight="1" thickBot="1" x14ac:dyDescent="0.45">
      <c r="A184" s="233"/>
      <c r="B184" s="946" t="s">
        <v>1550</v>
      </c>
      <c r="C184" s="945"/>
      <c r="D184" s="389"/>
      <c r="E184" s="415">
        <v>0.1</v>
      </c>
      <c r="F184" s="419"/>
      <c r="G184" s="420"/>
      <c r="H184" s="421"/>
      <c r="I184" s="417">
        <f>+AVERAGE(I185)</f>
        <v>4.2000000000000003E-2</v>
      </c>
      <c r="J184" s="417">
        <f>+AVERAGE(J185)</f>
        <v>0.33</v>
      </c>
      <c r="K184" s="417">
        <f>+K185</f>
        <v>4.2000000000000003E-2</v>
      </c>
      <c r="L184" s="417">
        <f>+L185</f>
        <v>0.33</v>
      </c>
      <c r="M184" s="418"/>
      <c r="N184" s="424"/>
      <c r="O184" s="424"/>
      <c r="P184" s="424"/>
      <c r="Q184" s="424"/>
      <c r="R184" s="424"/>
      <c r="S184" s="424"/>
      <c r="T184" s="483">
        <f>+AVERAGE(T185)</f>
        <v>0</v>
      </c>
      <c r="U184" s="483">
        <f>+AVERAGE(U185)</f>
        <v>0.40424242424242424</v>
      </c>
      <c r="V184" s="483">
        <f>+(V185)*E184</f>
        <v>0</v>
      </c>
      <c r="W184" s="483">
        <f>+(W185)*E184</f>
        <v>4.0424242424242425E-2</v>
      </c>
      <c r="X184" s="438">
        <f>+AVERAGE(X185)</f>
        <v>0</v>
      </c>
      <c r="Y184" s="508">
        <f>+AVERAGE(Y185)</f>
        <v>0.13339999999999999</v>
      </c>
      <c r="Z184" s="438">
        <f>+(Z185)*E184</f>
        <v>0</v>
      </c>
      <c r="AA184" s="499">
        <f>+(AA185)</f>
        <v>0.13339999999999999</v>
      </c>
      <c r="AB184" s="132"/>
      <c r="AC184" s="388"/>
      <c r="AD184" s="388"/>
      <c r="AE184" s="106"/>
      <c r="AF184" s="106"/>
    </row>
    <row r="185" spans="1:32" ht="135" customHeight="1" thickBot="1" x14ac:dyDescent="0.4">
      <c r="A185" s="233"/>
      <c r="B185" s="894" t="s">
        <v>314</v>
      </c>
      <c r="C185" s="894" t="s">
        <v>315</v>
      </c>
      <c r="D185" s="390" t="s">
        <v>297</v>
      </c>
      <c r="E185" s="286">
        <v>1</v>
      </c>
      <c r="F185" s="419">
        <v>5000</v>
      </c>
      <c r="G185" s="420">
        <v>210</v>
      </c>
      <c r="H185" s="660">
        <v>1650</v>
      </c>
      <c r="I185" s="422">
        <f>+G185/F185</f>
        <v>4.2000000000000003E-2</v>
      </c>
      <c r="J185" s="425">
        <f t="shared" si="149"/>
        <v>0.33</v>
      </c>
      <c r="K185" s="422">
        <f>+(G185/F185)*E185</f>
        <v>4.2000000000000003E-2</v>
      </c>
      <c r="L185" s="425">
        <f t="shared" si="142"/>
        <v>0.33</v>
      </c>
      <c r="M185" s="420">
        <v>0</v>
      </c>
      <c r="N185" s="495">
        <v>0</v>
      </c>
      <c r="O185" s="495">
        <v>317</v>
      </c>
      <c r="P185" s="495">
        <v>350</v>
      </c>
      <c r="Q185" s="421"/>
      <c r="R185" s="421">
        <f t="shared" si="143"/>
        <v>667</v>
      </c>
      <c r="S185" s="421">
        <f t="shared" si="144"/>
        <v>667</v>
      </c>
      <c r="T185" s="422">
        <f>+(M185/G185)</f>
        <v>0</v>
      </c>
      <c r="U185" s="425">
        <f t="shared" si="145"/>
        <v>0.40424242424242424</v>
      </c>
      <c r="V185" s="422">
        <f>+T185*E185</f>
        <v>0</v>
      </c>
      <c r="W185" s="425">
        <f t="shared" si="148"/>
        <v>0.40424242424242424</v>
      </c>
      <c r="X185" s="442">
        <f>+M185/F185</f>
        <v>0</v>
      </c>
      <c r="Y185" s="517">
        <f t="shared" si="147"/>
        <v>0.13339999999999999</v>
      </c>
      <c r="Z185" s="442">
        <f>+X185*E185</f>
        <v>0</v>
      </c>
      <c r="AA185" s="443">
        <f>+Y185*E185</f>
        <v>0.13339999999999999</v>
      </c>
      <c r="AB185" s="139" t="s">
        <v>1775</v>
      </c>
      <c r="AC185" s="659" t="s">
        <v>1798</v>
      </c>
      <c r="AD185" s="659" t="s">
        <v>1860</v>
      </c>
      <c r="AE185" s="106"/>
      <c r="AF185" s="106"/>
    </row>
    <row r="186" spans="1:32" ht="135" customHeight="1" thickBot="1" x14ac:dyDescent="0.45">
      <c r="A186" s="233"/>
      <c r="B186" s="946" t="s">
        <v>1551</v>
      </c>
      <c r="C186" s="945"/>
      <c r="D186" s="389"/>
      <c r="E186" s="415">
        <v>0.1</v>
      </c>
      <c r="F186" s="419"/>
      <c r="G186" s="420"/>
      <c r="H186" s="421"/>
      <c r="I186" s="417">
        <f>+AVERAGE(I187:I191)</f>
        <v>0.13873355263157894</v>
      </c>
      <c r="J186" s="417">
        <f>+AVERAGE(J187:J191)</f>
        <v>0.30382894736842103</v>
      </c>
      <c r="K186" s="417">
        <f>+K187+K188+K189+K190+K191</f>
        <v>0.11001315789473685</v>
      </c>
      <c r="L186" s="417">
        <f>+L187+L188+L189+L190+L191</f>
        <v>0.30417105263157895</v>
      </c>
      <c r="M186" s="418"/>
      <c r="N186" s="424"/>
      <c r="O186" s="424"/>
      <c r="P186" s="424"/>
      <c r="Q186" s="424"/>
      <c r="R186" s="424"/>
      <c r="S186" s="424"/>
      <c r="T186" s="483">
        <f>+AVERAGE(T187:T191)</f>
        <v>1</v>
      </c>
      <c r="U186" s="483">
        <f>+AVERAGE(U187:U191)</f>
        <v>0.35677817998994465</v>
      </c>
      <c r="V186" s="483">
        <f>+(V187+V188+V189+V190+V191)*E186</f>
        <v>8.0000000000000016E-2</v>
      </c>
      <c r="W186" s="483">
        <f>+(W187+W188+W189+W190+W191)*E186</f>
        <v>3.6745330316742084E-2</v>
      </c>
      <c r="X186" s="438">
        <f>+AVERAGE(X187:X191)</f>
        <v>0.18213075657894739</v>
      </c>
      <c r="Y186" s="508">
        <f>+AVERAGE(Y187:Y191)</f>
        <v>0.25138552631578948</v>
      </c>
      <c r="Z186" s="438">
        <f>+(Z187+Z188+Z189+Z190+Z191)*E186</f>
        <v>1.4271164473684213E-2</v>
      </c>
      <c r="AA186" s="499">
        <f>+(AA187+AA188+AA189+AA190+AA191)</f>
        <v>0.25191197368421053</v>
      </c>
      <c r="AB186" s="132"/>
      <c r="AC186" s="388"/>
      <c r="AD186" s="388"/>
      <c r="AE186" s="106"/>
      <c r="AF186" s="106"/>
    </row>
    <row r="187" spans="1:32" ht="135" customHeight="1" thickBot="1" x14ac:dyDescent="0.4">
      <c r="A187" s="233"/>
      <c r="B187" s="894" t="s">
        <v>316</v>
      </c>
      <c r="C187" s="894" t="s">
        <v>317</v>
      </c>
      <c r="D187" s="390" t="s">
        <v>297</v>
      </c>
      <c r="E187" s="286">
        <v>0.24</v>
      </c>
      <c r="F187" s="419">
        <v>8000</v>
      </c>
      <c r="G187" s="420">
        <v>350</v>
      </c>
      <c r="H187" s="420">
        <v>2550</v>
      </c>
      <c r="I187" s="422">
        <f>+G187/F187</f>
        <v>4.3749999999999997E-2</v>
      </c>
      <c r="J187" s="425">
        <f t="shared" si="149"/>
        <v>0.31874999999999998</v>
      </c>
      <c r="K187" s="422">
        <f>+(G187/F187)*E187</f>
        <v>1.0499999999999999E-2</v>
      </c>
      <c r="L187" s="425">
        <f t="shared" si="142"/>
        <v>7.6499999999999999E-2</v>
      </c>
      <c r="M187" s="420">
        <v>477</v>
      </c>
      <c r="N187" s="495">
        <v>32</v>
      </c>
      <c r="O187" s="495">
        <v>500</v>
      </c>
      <c r="P187" s="495">
        <v>1013</v>
      </c>
      <c r="Q187" s="421"/>
      <c r="R187" s="421">
        <f t="shared" si="143"/>
        <v>1545</v>
      </c>
      <c r="S187" s="421">
        <f t="shared" si="144"/>
        <v>2022</v>
      </c>
      <c r="T187" s="422">
        <v>1</v>
      </c>
      <c r="U187" s="459">
        <f t="shared" si="145"/>
        <v>0.60588235294117643</v>
      </c>
      <c r="V187" s="474">
        <f>+T187*E187</f>
        <v>0.24</v>
      </c>
      <c r="W187" s="459">
        <f t="shared" si="148"/>
        <v>0.14541176470588232</v>
      </c>
      <c r="X187" s="503">
        <f>+M187/F187</f>
        <v>5.9624999999999997E-2</v>
      </c>
      <c r="Y187" s="512">
        <f>+S187/F187</f>
        <v>0.25274999999999997</v>
      </c>
      <c r="Z187" s="503">
        <f>+X187*E187</f>
        <v>1.4309999999999998E-2</v>
      </c>
      <c r="AA187" s="504">
        <f>+Y187*E187</f>
        <v>6.0659999999999992E-2</v>
      </c>
      <c r="AB187" s="139" t="s">
        <v>1775</v>
      </c>
      <c r="AC187" s="659" t="s">
        <v>1798</v>
      </c>
      <c r="AD187" s="659" t="s">
        <v>1860</v>
      </c>
      <c r="AE187" s="106"/>
      <c r="AF187" s="106"/>
    </row>
    <row r="188" spans="1:32" ht="135" customHeight="1" thickBot="1" x14ac:dyDescent="0.4">
      <c r="A188" s="233"/>
      <c r="B188" s="894" t="s">
        <v>318</v>
      </c>
      <c r="C188" s="894" t="s">
        <v>319</v>
      </c>
      <c r="D188" s="390" t="s">
        <v>297</v>
      </c>
      <c r="E188" s="286">
        <v>0.2</v>
      </c>
      <c r="F188" s="419">
        <v>1</v>
      </c>
      <c r="G188" s="420">
        <v>0</v>
      </c>
      <c r="H188" s="420">
        <v>0.33</v>
      </c>
      <c r="I188" s="422"/>
      <c r="J188" s="425">
        <f t="shared" si="149"/>
        <v>0.33</v>
      </c>
      <c r="K188" s="422"/>
      <c r="L188" s="425">
        <f t="shared" si="142"/>
        <v>6.6000000000000003E-2</v>
      </c>
      <c r="M188" s="420"/>
      <c r="N188" s="495">
        <v>0</v>
      </c>
      <c r="O188" s="495">
        <v>0</v>
      </c>
      <c r="P188" s="495">
        <v>0</v>
      </c>
      <c r="Q188" s="421"/>
      <c r="R188" s="421">
        <f t="shared" si="143"/>
        <v>0</v>
      </c>
      <c r="S188" s="421">
        <f t="shared" si="144"/>
        <v>0</v>
      </c>
      <c r="T188" s="422"/>
      <c r="U188" s="459">
        <f t="shared" si="145"/>
        <v>0</v>
      </c>
      <c r="V188" s="474"/>
      <c r="W188" s="459">
        <f t="shared" si="148"/>
        <v>0</v>
      </c>
      <c r="X188" s="503"/>
      <c r="Y188" s="512">
        <f t="shared" si="147"/>
        <v>0</v>
      </c>
      <c r="Z188" s="503"/>
      <c r="AA188" s="504">
        <f>+Y188*E188</f>
        <v>0</v>
      </c>
      <c r="AB188" s="139" t="s">
        <v>1775</v>
      </c>
      <c r="AC188" s="661" t="s">
        <v>1825</v>
      </c>
      <c r="AD188" s="659" t="s">
        <v>1860</v>
      </c>
      <c r="AE188" s="106"/>
      <c r="AF188" s="106"/>
    </row>
    <row r="189" spans="1:32" ht="135" customHeight="1" thickBot="1" x14ac:dyDescent="0.4">
      <c r="A189" s="233"/>
      <c r="B189" s="894" t="s">
        <v>320</v>
      </c>
      <c r="C189" s="894" t="s">
        <v>321</v>
      </c>
      <c r="D189" s="390" t="s">
        <v>297</v>
      </c>
      <c r="E189" s="286">
        <v>0.18</v>
      </c>
      <c r="F189" s="419">
        <v>3800</v>
      </c>
      <c r="G189" s="420">
        <v>280</v>
      </c>
      <c r="H189" s="420">
        <v>1170</v>
      </c>
      <c r="I189" s="422">
        <f>+G189/F189</f>
        <v>7.3684210526315783E-2</v>
      </c>
      <c r="J189" s="425">
        <f t="shared" si="149"/>
        <v>0.30789473684210528</v>
      </c>
      <c r="K189" s="422">
        <f>+(G189/F189)*E189</f>
        <v>1.326315789473684E-2</v>
      </c>
      <c r="L189" s="425">
        <f>+(H189/F189)*E189</f>
        <v>5.5421052631578947E-2</v>
      </c>
      <c r="M189" s="420">
        <v>529</v>
      </c>
      <c r="N189" s="495">
        <v>0</v>
      </c>
      <c r="O189" s="495">
        <v>180</v>
      </c>
      <c r="P189" s="495">
        <v>226</v>
      </c>
      <c r="Q189" s="421"/>
      <c r="R189" s="421">
        <f t="shared" si="143"/>
        <v>406</v>
      </c>
      <c r="S189" s="421">
        <f t="shared" si="144"/>
        <v>935</v>
      </c>
      <c r="T189" s="422">
        <v>1</v>
      </c>
      <c r="U189" s="459">
        <f t="shared" si="145"/>
        <v>0.347008547008547</v>
      </c>
      <c r="V189" s="474">
        <f>+T189*E189</f>
        <v>0.18</v>
      </c>
      <c r="W189" s="459">
        <f t="shared" si="148"/>
        <v>6.2461538461538457E-2</v>
      </c>
      <c r="X189" s="503">
        <f>+M189/F189</f>
        <v>0.13921052631578948</v>
      </c>
      <c r="Y189" s="504">
        <f t="shared" si="147"/>
        <v>0.24605263157894736</v>
      </c>
      <c r="Z189" s="503">
        <f>+X189*E189</f>
        <v>2.5057894736842105E-2</v>
      </c>
      <c r="AA189" s="504">
        <f>+Y189*E189</f>
        <v>4.4289473684210524E-2</v>
      </c>
      <c r="AB189" s="139" t="s">
        <v>1775</v>
      </c>
      <c r="AC189" s="659" t="s">
        <v>1798</v>
      </c>
      <c r="AD189" s="659" t="s">
        <v>1860</v>
      </c>
      <c r="AE189" s="106"/>
      <c r="AF189" s="106"/>
    </row>
    <row r="190" spans="1:32" ht="135" customHeight="1" thickBot="1" x14ac:dyDescent="0.4">
      <c r="A190" s="233"/>
      <c r="B190" s="894" t="s">
        <v>322</v>
      </c>
      <c r="C190" s="894" t="s">
        <v>323</v>
      </c>
      <c r="D190" s="390" t="s">
        <v>297</v>
      </c>
      <c r="E190" s="286">
        <v>0.2</v>
      </c>
      <c r="F190" s="419">
        <v>80</v>
      </c>
      <c r="G190" s="420">
        <v>30</v>
      </c>
      <c r="H190" s="420">
        <v>20</v>
      </c>
      <c r="I190" s="422">
        <f>+G190/F190</f>
        <v>0.375</v>
      </c>
      <c r="J190" s="425">
        <f t="shared" si="149"/>
        <v>0.25</v>
      </c>
      <c r="K190" s="422">
        <f>+(G190/F190)*E190</f>
        <v>7.5000000000000011E-2</v>
      </c>
      <c r="L190" s="425">
        <f t="shared" si="142"/>
        <v>0.05</v>
      </c>
      <c r="M190" s="420">
        <v>32</v>
      </c>
      <c r="N190" s="495">
        <v>3</v>
      </c>
      <c r="O190" s="495">
        <v>3</v>
      </c>
      <c r="P190" s="495">
        <v>4</v>
      </c>
      <c r="Q190" s="421"/>
      <c r="R190" s="421">
        <f t="shared" si="143"/>
        <v>10</v>
      </c>
      <c r="S190" s="421">
        <f t="shared" si="144"/>
        <v>42</v>
      </c>
      <c r="T190" s="422">
        <v>1</v>
      </c>
      <c r="U190" s="459">
        <f t="shared" si="145"/>
        <v>0.5</v>
      </c>
      <c r="V190" s="474">
        <f>+T190*E190</f>
        <v>0.2</v>
      </c>
      <c r="W190" s="459">
        <f t="shared" si="148"/>
        <v>0.1</v>
      </c>
      <c r="X190" s="503">
        <f>+M190/F190</f>
        <v>0.4</v>
      </c>
      <c r="Y190" s="504">
        <f t="shared" si="147"/>
        <v>0.52500000000000002</v>
      </c>
      <c r="Z190" s="503">
        <f>+X190*E190</f>
        <v>8.0000000000000016E-2</v>
      </c>
      <c r="AA190" s="504">
        <f>+Y190*E190</f>
        <v>0.10500000000000001</v>
      </c>
      <c r="AB190" s="139" t="s">
        <v>1775</v>
      </c>
      <c r="AC190" s="659" t="s">
        <v>1798</v>
      </c>
      <c r="AD190" s="659" t="s">
        <v>1860</v>
      </c>
      <c r="AE190" s="106"/>
      <c r="AF190" s="106"/>
    </row>
    <row r="191" spans="1:32" ht="135" customHeight="1" thickBot="1" x14ac:dyDescent="0.4">
      <c r="A191" s="233"/>
      <c r="B191" s="894" t="s">
        <v>324</v>
      </c>
      <c r="C191" s="894" t="s">
        <v>325</v>
      </c>
      <c r="D191" s="390" t="s">
        <v>297</v>
      </c>
      <c r="E191" s="286">
        <v>0.18</v>
      </c>
      <c r="F191" s="419">
        <v>3200</v>
      </c>
      <c r="G191" s="420">
        <v>200</v>
      </c>
      <c r="H191" s="420">
        <v>1000</v>
      </c>
      <c r="I191" s="422">
        <f>+G191/F191</f>
        <v>6.25E-2</v>
      </c>
      <c r="J191" s="425">
        <f t="shared" si="149"/>
        <v>0.3125</v>
      </c>
      <c r="K191" s="422">
        <f>+(G191/F191)*E191</f>
        <v>1.125E-2</v>
      </c>
      <c r="L191" s="425">
        <f t="shared" si="142"/>
        <v>5.6249999999999994E-2</v>
      </c>
      <c r="M191" s="420">
        <v>415</v>
      </c>
      <c r="N191" s="495">
        <v>98</v>
      </c>
      <c r="O191" s="495">
        <v>104</v>
      </c>
      <c r="P191" s="495">
        <v>129</v>
      </c>
      <c r="Q191" s="421"/>
      <c r="R191" s="421">
        <f t="shared" si="143"/>
        <v>331</v>
      </c>
      <c r="S191" s="421">
        <f t="shared" si="144"/>
        <v>746</v>
      </c>
      <c r="T191" s="422">
        <v>1</v>
      </c>
      <c r="U191" s="459">
        <f t="shared" si="145"/>
        <v>0.33100000000000002</v>
      </c>
      <c r="V191" s="474">
        <f>+T191*E191</f>
        <v>0.18</v>
      </c>
      <c r="W191" s="459">
        <f t="shared" si="148"/>
        <v>5.9580000000000001E-2</v>
      </c>
      <c r="X191" s="503">
        <f>+M191/F191</f>
        <v>0.12968750000000001</v>
      </c>
      <c r="Y191" s="506">
        <f t="shared" si="147"/>
        <v>0.233125</v>
      </c>
      <c r="Z191" s="503">
        <f>+X191*E191</f>
        <v>2.334375E-2</v>
      </c>
      <c r="AA191" s="504">
        <f>+Y191*E191</f>
        <v>4.19625E-2</v>
      </c>
      <c r="AB191" s="139" t="s">
        <v>1775</v>
      </c>
      <c r="AC191" s="659" t="s">
        <v>1798</v>
      </c>
      <c r="AD191" s="659" t="s">
        <v>1860</v>
      </c>
      <c r="AE191" s="106"/>
      <c r="AF191" s="106"/>
    </row>
    <row r="192" spans="1:32" ht="135" customHeight="1" thickBot="1" x14ac:dyDescent="0.45">
      <c r="A192" s="233"/>
      <c r="B192" s="946" t="s">
        <v>1552</v>
      </c>
      <c r="C192" s="945"/>
      <c r="D192" s="389"/>
      <c r="E192" s="415">
        <v>0.1</v>
      </c>
      <c r="F192" s="419"/>
      <c r="G192" s="420"/>
      <c r="H192" s="421"/>
      <c r="I192" s="417">
        <f>+AVERAGE(I193:I194)</f>
        <v>1.2500000000000001E-2</v>
      </c>
      <c r="J192" s="417">
        <f>+AVERAGE(J193:J194)</f>
        <v>0.31666666666666665</v>
      </c>
      <c r="K192" s="417">
        <f>+K193+K194</f>
        <v>3.7499999999999999E-3</v>
      </c>
      <c r="L192" s="417">
        <f>+L193+L194</f>
        <v>0.32333333333333331</v>
      </c>
      <c r="M192" s="418"/>
      <c r="N192" s="424"/>
      <c r="O192" s="424"/>
      <c r="P192" s="424"/>
      <c r="Q192" s="424"/>
      <c r="R192" s="424"/>
      <c r="S192" s="424"/>
      <c r="T192" s="483">
        <f>+AVERAGE(T193:T194)</f>
        <v>1</v>
      </c>
      <c r="U192" s="483">
        <f>+AVERAGE(U193:U194)</f>
        <v>0.17841666666666667</v>
      </c>
      <c r="V192" s="483">
        <f>+(V193+V194)*E192</f>
        <v>0.03</v>
      </c>
      <c r="W192" s="483">
        <f>+(W193+W194)*E192</f>
        <v>1.8665000000000001E-2</v>
      </c>
      <c r="X192" s="438">
        <f>+AVERAGE(X193:X194)</f>
        <v>1.2500000000000001E-2</v>
      </c>
      <c r="Y192" s="508">
        <f>+AVERAGE(Y193:Y194)</f>
        <v>2.9925E-2</v>
      </c>
      <c r="Z192" s="438">
        <f>+(Z193+Z194)*E192</f>
        <v>3.7500000000000001E-4</v>
      </c>
      <c r="AA192" s="499">
        <f>+(AA193+AA194)</f>
        <v>1.7954999999999999E-2</v>
      </c>
      <c r="AB192" s="132"/>
      <c r="AC192" s="388"/>
      <c r="AD192" s="388"/>
      <c r="AE192" s="106"/>
      <c r="AF192" s="106"/>
    </row>
    <row r="193" spans="1:32" ht="135" customHeight="1" thickBot="1" x14ac:dyDescent="0.4">
      <c r="A193" s="233"/>
      <c r="B193" s="894" t="s">
        <v>326</v>
      </c>
      <c r="C193" s="894" t="s">
        <v>327</v>
      </c>
      <c r="D193" s="390" t="s">
        <v>297</v>
      </c>
      <c r="E193" s="286">
        <v>0.3</v>
      </c>
      <c r="F193" s="419">
        <v>20000</v>
      </c>
      <c r="G193" s="420">
        <v>250</v>
      </c>
      <c r="H193" s="420">
        <v>6000</v>
      </c>
      <c r="I193" s="422">
        <f>+G193/F193</f>
        <v>1.2500000000000001E-2</v>
      </c>
      <c r="J193" s="425">
        <f t="shared" si="149"/>
        <v>0.3</v>
      </c>
      <c r="K193" s="422">
        <f>+(G193/F193)*E193</f>
        <v>3.7499999999999999E-3</v>
      </c>
      <c r="L193" s="425">
        <f t="shared" si="142"/>
        <v>0.09</v>
      </c>
      <c r="M193" s="420">
        <v>250</v>
      </c>
      <c r="N193" s="495">
        <v>219</v>
      </c>
      <c r="O193" s="495">
        <v>331</v>
      </c>
      <c r="P193" s="495">
        <v>397</v>
      </c>
      <c r="Q193" s="421"/>
      <c r="R193" s="421">
        <f t="shared" si="143"/>
        <v>947</v>
      </c>
      <c r="S193" s="421">
        <f t="shared" si="144"/>
        <v>1197</v>
      </c>
      <c r="T193" s="422">
        <f>+(M193/G193)</f>
        <v>1</v>
      </c>
      <c r="U193" s="425">
        <f t="shared" si="145"/>
        <v>0.15783333333333333</v>
      </c>
      <c r="V193" s="422">
        <f>+T193*E193</f>
        <v>0.3</v>
      </c>
      <c r="W193" s="425">
        <f t="shared" si="148"/>
        <v>4.7349999999999996E-2</v>
      </c>
      <c r="X193" s="442">
        <f>+M193/F193</f>
        <v>1.2500000000000001E-2</v>
      </c>
      <c r="Y193" s="510">
        <f t="shared" si="147"/>
        <v>5.985E-2</v>
      </c>
      <c r="Z193" s="442">
        <f>+X193*E193</f>
        <v>3.7499999999999999E-3</v>
      </c>
      <c r="AA193" s="443">
        <f>+Y193*E193</f>
        <v>1.7954999999999999E-2</v>
      </c>
      <c r="AB193" s="139" t="s">
        <v>1775</v>
      </c>
      <c r="AC193" s="659" t="s">
        <v>1798</v>
      </c>
      <c r="AD193" s="659" t="s">
        <v>1860</v>
      </c>
      <c r="AE193" s="106"/>
      <c r="AF193" s="106"/>
    </row>
    <row r="194" spans="1:32" ht="135" customHeight="1" thickBot="1" x14ac:dyDescent="0.4">
      <c r="A194" s="233"/>
      <c r="B194" s="894" t="s">
        <v>328</v>
      </c>
      <c r="C194" s="894" t="s">
        <v>329</v>
      </c>
      <c r="D194" s="390" t="s">
        <v>297</v>
      </c>
      <c r="E194" s="286">
        <v>0.7</v>
      </c>
      <c r="F194" s="419">
        <v>3000</v>
      </c>
      <c r="G194" s="420">
        <v>0</v>
      </c>
      <c r="H194" s="420">
        <v>1000</v>
      </c>
      <c r="I194" s="422"/>
      <c r="J194" s="425">
        <f>+H194/F194</f>
        <v>0.33333333333333331</v>
      </c>
      <c r="K194" s="422"/>
      <c r="L194" s="425">
        <f>+(H194/F194)*E194</f>
        <v>0.23333333333333331</v>
      </c>
      <c r="M194" s="420"/>
      <c r="N194" s="495">
        <v>0</v>
      </c>
      <c r="O194" s="495">
        <v>0</v>
      </c>
      <c r="P194" s="495">
        <v>199</v>
      </c>
      <c r="Q194" s="421"/>
      <c r="R194" s="421">
        <f t="shared" si="143"/>
        <v>199</v>
      </c>
      <c r="S194" s="421">
        <f t="shared" si="144"/>
        <v>199</v>
      </c>
      <c r="T194" s="422"/>
      <c r="U194" s="425">
        <f t="shared" si="145"/>
        <v>0.19900000000000001</v>
      </c>
      <c r="V194" s="422"/>
      <c r="W194" s="425">
        <f t="shared" si="148"/>
        <v>0.13930000000000001</v>
      </c>
      <c r="X194" s="442"/>
      <c r="Y194" s="511">
        <v>0</v>
      </c>
      <c r="Z194" s="442"/>
      <c r="AA194" s="443"/>
      <c r="AB194" s="139" t="s">
        <v>1775</v>
      </c>
      <c r="AC194" s="661" t="s">
        <v>1825</v>
      </c>
      <c r="AD194" s="659" t="s">
        <v>1860</v>
      </c>
      <c r="AE194" s="106"/>
      <c r="AF194" s="106"/>
    </row>
    <row r="195" spans="1:32" ht="135" customHeight="1" thickBot="1" x14ac:dyDescent="0.45">
      <c r="A195" s="233"/>
      <c r="B195" s="946" t="s">
        <v>1553</v>
      </c>
      <c r="C195" s="945"/>
      <c r="D195" s="389"/>
      <c r="E195" s="415">
        <v>0.1</v>
      </c>
      <c r="F195" s="419"/>
      <c r="G195" s="420"/>
      <c r="H195" s="421"/>
      <c r="I195" s="417">
        <f>+AVERAGE(I196:I198)</f>
        <v>0.19771672771672774</v>
      </c>
      <c r="J195" s="417">
        <f>+AVERAGE(J196:J198)</f>
        <v>0.28894993894993898</v>
      </c>
      <c r="K195" s="417">
        <f>+K196+K197+K198</f>
        <v>0.19857509157509157</v>
      </c>
      <c r="L195" s="417">
        <f>+L196+L197+L198</f>
        <v>0.29342490842490843</v>
      </c>
      <c r="M195" s="418"/>
      <c r="N195" s="424"/>
      <c r="O195" s="424"/>
      <c r="P195" s="424"/>
      <c r="Q195" s="424"/>
      <c r="R195" s="424"/>
      <c r="S195" s="424"/>
      <c r="T195" s="483">
        <f>+AVERAGE(T196:T198)</f>
        <v>0.68</v>
      </c>
      <c r="U195" s="483">
        <f>+AVERAGE(U196:U198)</f>
        <v>0.89629629629629637</v>
      </c>
      <c r="V195" s="483">
        <f>+(V196+V197+V198)*E195</f>
        <v>7.9000000000000015E-2</v>
      </c>
      <c r="W195" s="483">
        <f>+(W196+W197+W198)*E195</f>
        <v>9.3777777777777793E-2</v>
      </c>
      <c r="X195" s="438">
        <f>+AVERAGE(X196:X198)</f>
        <v>0.20072039072039072</v>
      </c>
      <c r="Y195" s="508">
        <f>+AVERAGE(Y196:Y198)</f>
        <v>0.51808302808302809</v>
      </c>
      <c r="Z195" s="438">
        <f>+(Z196+Z197+Z198)*E195</f>
        <v>1.9708058608058607E-2</v>
      </c>
      <c r="AA195" s="499">
        <f>+(AA196+AA197+AA198)</f>
        <v>0.5611245421245421</v>
      </c>
      <c r="AB195" s="132"/>
      <c r="AC195" s="388"/>
      <c r="AD195" s="388"/>
      <c r="AE195" s="106"/>
      <c r="AF195" s="106"/>
    </row>
    <row r="196" spans="1:32" ht="135" customHeight="1" thickBot="1" x14ac:dyDescent="0.4">
      <c r="A196" s="233"/>
      <c r="B196" s="894" t="s">
        <v>330</v>
      </c>
      <c r="C196" s="894" t="s">
        <v>331</v>
      </c>
      <c r="D196" s="390" t="s">
        <v>297</v>
      </c>
      <c r="E196" s="286">
        <v>0.5</v>
      </c>
      <c r="F196" s="419">
        <v>1092</v>
      </c>
      <c r="G196" s="420">
        <v>200</v>
      </c>
      <c r="H196" s="421">
        <v>346</v>
      </c>
      <c r="I196" s="422">
        <f>+G196/F196</f>
        <v>0.18315018315018314</v>
      </c>
      <c r="J196" s="425">
        <f t="shared" ref="J196:J211" si="150">+H196/F196</f>
        <v>0.31684981684981683</v>
      </c>
      <c r="K196" s="422">
        <f>+(G196/F196)*E196</f>
        <v>9.1575091575091569E-2</v>
      </c>
      <c r="L196" s="425">
        <f t="shared" ref="L196:L197" si="151">+(H196/F196)*E196</f>
        <v>0.15842490842490842</v>
      </c>
      <c r="M196" s="420">
        <v>188</v>
      </c>
      <c r="N196" s="495">
        <v>125</v>
      </c>
      <c r="O196" s="495">
        <v>45</v>
      </c>
      <c r="P196" s="495">
        <v>371</v>
      </c>
      <c r="Q196" s="421"/>
      <c r="R196" s="421">
        <f t="shared" si="143"/>
        <v>541</v>
      </c>
      <c r="S196" s="421">
        <f t="shared" si="144"/>
        <v>729</v>
      </c>
      <c r="T196" s="422">
        <f>+(M196/G196)</f>
        <v>0.94</v>
      </c>
      <c r="U196" s="425">
        <v>1</v>
      </c>
      <c r="V196" s="422">
        <f>+T196*E196</f>
        <v>0.47</v>
      </c>
      <c r="W196" s="425">
        <f t="shared" si="148"/>
        <v>0.5</v>
      </c>
      <c r="X196" s="442">
        <f>+M196/F196</f>
        <v>0.17216117216117216</v>
      </c>
      <c r="Y196" s="510">
        <f t="shared" si="147"/>
        <v>0.66758241758241754</v>
      </c>
      <c r="Z196" s="442">
        <f>+X196*E196</f>
        <v>8.608058608058608E-2</v>
      </c>
      <c r="AA196" s="443">
        <f>+Y196*E196</f>
        <v>0.33379120879120877</v>
      </c>
      <c r="AB196" s="139" t="s">
        <v>1775</v>
      </c>
      <c r="AC196" s="659" t="s">
        <v>1798</v>
      </c>
      <c r="AD196" s="659" t="s">
        <v>1860</v>
      </c>
      <c r="AE196" s="106"/>
      <c r="AF196" s="106"/>
    </row>
    <row r="197" spans="1:32" ht="135" customHeight="1" thickBot="1" x14ac:dyDescent="0.4">
      <c r="A197" s="233"/>
      <c r="B197" s="894" t="s">
        <v>332</v>
      </c>
      <c r="C197" s="894" t="s">
        <v>333</v>
      </c>
      <c r="D197" s="390" t="s">
        <v>297</v>
      </c>
      <c r="E197" s="286">
        <v>0.3</v>
      </c>
      <c r="F197" s="419">
        <v>4</v>
      </c>
      <c r="G197" s="420">
        <v>1</v>
      </c>
      <c r="H197" s="421">
        <v>1</v>
      </c>
      <c r="I197" s="422">
        <f>+G197/F197</f>
        <v>0.25</v>
      </c>
      <c r="J197" s="425">
        <f t="shared" si="150"/>
        <v>0.25</v>
      </c>
      <c r="K197" s="422">
        <f>+(G197/F197)*E197</f>
        <v>7.4999999999999997E-2</v>
      </c>
      <c r="L197" s="425">
        <f t="shared" si="151"/>
        <v>7.4999999999999997E-2</v>
      </c>
      <c r="M197" s="420">
        <v>1</v>
      </c>
      <c r="N197" s="495">
        <v>1</v>
      </c>
      <c r="O197" s="495">
        <v>0</v>
      </c>
      <c r="P197" s="495">
        <v>0</v>
      </c>
      <c r="Q197" s="421"/>
      <c r="R197" s="421">
        <f t="shared" si="143"/>
        <v>1</v>
      </c>
      <c r="S197" s="421">
        <f t="shared" si="144"/>
        <v>2</v>
      </c>
      <c r="T197" s="422">
        <f>+(M197/G197)</f>
        <v>1</v>
      </c>
      <c r="U197" s="425">
        <f t="shared" si="145"/>
        <v>1</v>
      </c>
      <c r="V197" s="422">
        <f>+T197*E197</f>
        <v>0.3</v>
      </c>
      <c r="W197" s="425">
        <f>+U197*E197</f>
        <v>0.3</v>
      </c>
      <c r="X197" s="442">
        <f>+M197/F197</f>
        <v>0.25</v>
      </c>
      <c r="Y197" s="443">
        <f t="shared" si="147"/>
        <v>0.5</v>
      </c>
      <c r="Z197" s="442">
        <f>+X197*E197</f>
        <v>7.4999999999999997E-2</v>
      </c>
      <c r="AA197" s="443">
        <f>+Y197*E197</f>
        <v>0.15</v>
      </c>
      <c r="AB197" s="139" t="s">
        <v>1775</v>
      </c>
      <c r="AC197" s="659" t="s">
        <v>1798</v>
      </c>
      <c r="AD197" s="659" t="s">
        <v>1860</v>
      </c>
      <c r="AE197" s="106"/>
      <c r="AF197" s="106"/>
    </row>
    <row r="198" spans="1:32" ht="135" customHeight="1" thickBot="1" x14ac:dyDescent="0.4">
      <c r="A198" s="233"/>
      <c r="B198" s="894" t="s">
        <v>334</v>
      </c>
      <c r="C198" s="894" t="s">
        <v>335</v>
      </c>
      <c r="D198" s="390" t="s">
        <v>297</v>
      </c>
      <c r="E198" s="286">
        <v>0.2</v>
      </c>
      <c r="F198" s="419">
        <v>150</v>
      </c>
      <c r="G198" s="420">
        <v>24</v>
      </c>
      <c r="H198" s="421">
        <v>45</v>
      </c>
      <c r="I198" s="422">
        <f>+G198/F198</f>
        <v>0.16</v>
      </c>
      <c r="J198" s="425">
        <f t="shared" si="150"/>
        <v>0.3</v>
      </c>
      <c r="K198" s="422">
        <f>+(G198/F198)*E198</f>
        <v>3.2000000000000001E-2</v>
      </c>
      <c r="L198" s="425">
        <f>+(H198/F198)*E198</f>
        <v>0.06</v>
      </c>
      <c r="M198" s="420">
        <v>27</v>
      </c>
      <c r="N198" s="495">
        <v>0</v>
      </c>
      <c r="O198" s="495">
        <v>6</v>
      </c>
      <c r="P198" s="495">
        <v>25</v>
      </c>
      <c r="Q198" s="421"/>
      <c r="R198" s="421">
        <f t="shared" si="143"/>
        <v>31</v>
      </c>
      <c r="S198" s="421">
        <f t="shared" si="144"/>
        <v>58</v>
      </c>
      <c r="T198" s="422">
        <v>0.1</v>
      </c>
      <c r="U198" s="425">
        <f t="shared" si="145"/>
        <v>0.68888888888888888</v>
      </c>
      <c r="V198" s="422">
        <f>+T198*E198</f>
        <v>2.0000000000000004E-2</v>
      </c>
      <c r="W198" s="425">
        <f t="shared" si="148"/>
        <v>0.13777777777777778</v>
      </c>
      <c r="X198" s="442">
        <f>+M198/F198</f>
        <v>0.18</v>
      </c>
      <c r="Y198" s="511">
        <f t="shared" si="147"/>
        <v>0.38666666666666666</v>
      </c>
      <c r="Z198" s="442">
        <f>+X198*E198</f>
        <v>3.5999999999999997E-2</v>
      </c>
      <c r="AA198" s="443">
        <f>+Y198*E198</f>
        <v>7.7333333333333337E-2</v>
      </c>
      <c r="AB198" s="139" t="s">
        <v>1775</v>
      </c>
      <c r="AC198" s="659" t="s">
        <v>1798</v>
      </c>
      <c r="AD198" s="659" t="s">
        <v>1860</v>
      </c>
      <c r="AE198" s="106"/>
      <c r="AF198" s="106"/>
    </row>
    <row r="199" spans="1:32" ht="135" customHeight="1" thickBot="1" x14ac:dyDescent="0.45">
      <c r="A199" s="233"/>
      <c r="B199" s="946" t="s">
        <v>1554</v>
      </c>
      <c r="C199" s="945"/>
      <c r="D199" s="389"/>
      <c r="E199" s="415">
        <v>0.1</v>
      </c>
      <c r="F199" s="419"/>
      <c r="G199" s="420"/>
      <c r="H199" s="421"/>
      <c r="I199" s="417">
        <f>+AVERAGE(I200:I202)</f>
        <v>0.14374999999999999</v>
      </c>
      <c r="J199" s="417">
        <f>+AVERAGE(J200:J202)</f>
        <v>0.36074640522875817</v>
      </c>
      <c r="K199" s="417">
        <f>+K200+K201+K202</f>
        <v>6.7500000000000004E-2</v>
      </c>
      <c r="L199" s="417">
        <f>+L200+L201+L202</f>
        <v>0.36927960784313729</v>
      </c>
      <c r="M199" s="418"/>
      <c r="N199" s="424"/>
      <c r="O199" s="424"/>
      <c r="P199" s="424"/>
      <c r="Q199" s="424"/>
      <c r="R199" s="424"/>
      <c r="S199" s="424"/>
      <c r="T199" s="483">
        <f>+AVERAGE(T200:T202)</f>
        <v>0.72222222222222221</v>
      </c>
      <c r="U199" s="483">
        <f>+AVERAGE(U200:U202)</f>
        <v>0.49242424242424243</v>
      </c>
      <c r="V199" s="483">
        <f>+(V200+V201+V202)*E199</f>
        <v>3.888888888888889E-2</v>
      </c>
      <c r="W199" s="483">
        <f>+(W200+W201+W202)*E199</f>
        <v>4.3363636363636361E-2</v>
      </c>
      <c r="X199" s="438">
        <f>+AVERAGE(X200:X202)</f>
        <v>0.25741666666666668</v>
      </c>
      <c r="Y199" s="508">
        <f>+X199+((Y201-X201)/3)+((Y200-X200)/3)+(Y202/3)</f>
        <v>0.41432843137254904</v>
      </c>
      <c r="Z199" s="438">
        <f>+(Z200+Z201+Z202)*E199</f>
        <v>1.4611666666666665E-2</v>
      </c>
      <c r="AA199" s="499">
        <f>+(AA200+AA201+AA202)</f>
        <v>0.28373431372549018</v>
      </c>
      <c r="AB199" s="132"/>
      <c r="AC199" s="388"/>
      <c r="AD199" s="388"/>
      <c r="AE199" s="106"/>
      <c r="AF199" s="106"/>
    </row>
    <row r="200" spans="1:32" ht="135" customHeight="1" thickBot="1" x14ac:dyDescent="0.4">
      <c r="A200" s="233"/>
      <c r="B200" s="894" t="s">
        <v>336</v>
      </c>
      <c r="C200" s="894" t="s">
        <v>337</v>
      </c>
      <c r="D200" s="390" t="s">
        <v>297</v>
      </c>
      <c r="E200" s="286">
        <v>0.3</v>
      </c>
      <c r="F200" s="419">
        <v>10000</v>
      </c>
      <c r="G200" s="420">
        <v>1000</v>
      </c>
      <c r="H200" s="660">
        <f>4000-1658</f>
        <v>2342</v>
      </c>
      <c r="I200" s="422">
        <f>+G200/F200</f>
        <v>0.1</v>
      </c>
      <c r="J200" s="425">
        <f t="shared" si="150"/>
        <v>0.23419999999999999</v>
      </c>
      <c r="K200" s="422">
        <f>+(G200/F200)*E200</f>
        <v>0.03</v>
      </c>
      <c r="L200" s="425">
        <f t="shared" ref="L200:L208" si="152">+(H200/F200)*E200</f>
        <v>7.0259999999999989E-2</v>
      </c>
      <c r="M200" s="420">
        <v>4315</v>
      </c>
      <c r="N200" s="495">
        <v>0</v>
      </c>
      <c r="O200" s="495">
        <v>0</v>
      </c>
      <c r="P200" s="495">
        <v>2700</v>
      </c>
      <c r="Q200" s="421"/>
      <c r="R200" s="421">
        <f t="shared" si="143"/>
        <v>2700</v>
      </c>
      <c r="S200" s="421">
        <f t="shared" si="144"/>
        <v>7015</v>
      </c>
      <c r="T200" s="422">
        <v>1</v>
      </c>
      <c r="U200" s="425">
        <v>1</v>
      </c>
      <c r="V200" s="422">
        <f>+T200*E200</f>
        <v>0.3</v>
      </c>
      <c r="W200" s="425">
        <f t="shared" si="148"/>
        <v>0.3</v>
      </c>
      <c r="X200" s="442">
        <f>+M200/F200</f>
        <v>0.43149999999999999</v>
      </c>
      <c r="Y200" s="510">
        <f t="shared" si="147"/>
        <v>0.70150000000000001</v>
      </c>
      <c r="Z200" s="442">
        <f>+X200*E200</f>
        <v>0.12944999999999998</v>
      </c>
      <c r="AA200" s="443">
        <f>+Y200*E200</f>
        <v>0.21045</v>
      </c>
      <c r="AB200" s="139" t="s">
        <v>1775</v>
      </c>
      <c r="AC200" s="659" t="s">
        <v>1798</v>
      </c>
      <c r="AD200" s="659" t="s">
        <v>1860</v>
      </c>
      <c r="AE200" s="106"/>
      <c r="AF200" s="106"/>
    </row>
    <row r="201" spans="1:32" ht="135" customHeight="1" thickBot="1" x14ac:dyDescent="0.4">
      <c r="A201" s="233"/>
      <c r="B201" s="894" t="s">
        <v>338</v>
      </c>
      <c r="C201" s="894" t="s">
        <v>339</v>
      </c>
      <c r="D201" s="390" t="s">
        <v>297</v>
      </c>
      <c r="E201" s="286">
        <v>0.2</v>
      </c>
      <c r="F201" s="419">
        <v>96</v>
      </c>
      <c r="G201" s="420">
        <v>18</v>
      </c>
      <c r="H201" s="421">
        <v>40</v>
      </c>
      <c r="I201" s="422">
        <f>+G201/F201</f>
        <v>0.1875</v>
      </c>
      <c r="J201" s="425">
        <f t="shared" si="150"/>
        <v>0.41666666666666669</v>
      </c>
      <c r="K201" s="422">
        <f>+(G201/F201)*E201</f>
        <v>3.7500000000000006E-2</v>
      </c>
      <c r="L201" s="425">
        <f t="shared" si="152"/>
        <v>8.3333333333333343E-2</v>
      </c>
      <c r="M201" s="420">
        <v>8</v>
      </c>
      <c r="N201" s="495">
        <v>0</v>
      </c>
      <c r="O201" s="495">
        <v>6</v>
      </c>
      <c r="P201" s="495">
        <v>8</v>
      </c>
      <c r="Q201" s="421"/>
      <c r="R201" s="421">
        <f t="shared" si="143"/>
        <v>14</v>
      </c>
      <c r="S201" s="421">
        <f t="shared" si="144"/>
        <v>22</v>
      </c>
      <c r="T201" s="422">
        <f>+(M201/G201)</f>
        <v>0.44444444444444442</v>
      </c>
      <c r="U201" s="425">
        <f t="shared" si="145"/>
        <v>0.35</v>
      </c>
      <c r="V201" s="422">
        <f>+T201*E201</f>
        <v>8.8888888888888892E-2</v>
      </c>
      <c r="W201" s="425">
        <f t="shared" si="148"/>
        <v>6.9999999999999993E-2</v>
      </c>
      <c r="X201" s="442">
        <f>+M201/F201</f>
        <v>8.3333333333333329E-2</v>
      </c>
      <c r="Y201" s="443">
        <f t="shared" si="147"/>
        <v>0.22916666666666666</v>
      </c>
      <c r="Z201" s="442">
        <f>+X201*E201</f>
        <v>1.6666666666666666E-2</v>
      </c>
      <c r="AA201" s="443">
        <f>+Y201*E201</f>
        <v>4.5833333333333337E-2</v>
      </c>
      <c r="AB201" s="139" t="s">
        <v>1775</v>
      </c>
      <c r="AC201" s="659" t="s">
        <v>1798</v>
      </c>
      <c r="AD201" s="659" t="s">
        <v>1860</v>
      </c>
      <c r="AE201" s="106"/>
      <c r="AF201" s="106"/>
    </row>
    <row r="202" spans="1:32" ht="135" customHeight="1" thickBot="1" x14ac:dyDescent="0.4">
      <c r="A202" s="233"/>
      <c r="B202" s="894" t="s">
        <v>340</v>
      </c>
      <c r="C202" s="894" t="s">
        <v>341</v>
      </c>
      <c r="D202" s="390" t="s">
        <v>297</v>
      </c>
      <c r="E202" s="286">
        <v>0.5</v>
      </c>
      <c r="F202" s="419">
        <v>51000</v>
      </c>
      <c r="G202" s="420">
        <v>0</v>
      </c>
      <c r="H202" s="421">
        <v>22000</v>
      </c>
      <c r="I202" s="422"/>
      <c r="J202" s="425">
        <f t="shared" si="150"/>
        <v>0.43137254901960786</v>
      </c>
      <c r="K202" s="422"/>
      <c r="L202" s="425">
        <f t="shared" si="152"/>
        <v>0.21568627450980393</v>
      </c>
      <c r="M202" s="420"/>
      <c r="N202" s="495">
        <v>0</v>
      </c>
      <c r="O202" s="495">
        <v>0</v>
      </c>
      <c r="P202" s="495">
        <v>2800</v>
      </c>
      <c r="Q202" s="421"/>
      <c r="R202" s="421">
        <f t="shared" si="143"/>
        <v>2800</v>
      </c>
      <c r="S202" s="421">
        <f t="shared" si="144"/>
        <v>2800</v>
      </c>
      <c r="T202" s="422"/>
      <c r="U202" s="425">
        <f t="shared" si="145"/>
        <v>0.12727272727272726</v>
      </c>
      <c r="V202" s="422"/>
      <c r="W202" s="425">
        <f t="shared" si="148"/>
        <v>6.363636363636363E-2</v>
      </c>
      <c r="X202" s="442"/>
      <c r="Y202" s="443">
        <f t="shared" si="147"/>
        <v>5.4901960784313725E-2</v>
      </c>
      <c r="Z202" s="442"/>
      <c r="AA202" s="443">
        <f>+Y202*E202</f>
        <v>2.7450980392156862E-2</v>
      </c>
      <c r="AB202" s="139" t="s">
        <v>1775</v>
      </c>
      <c r="AC202" s="661" t="s">
        <v>1825</v>
      </c>
      <c r="AD202" s="659" t="s">
        <v>1860</v>
      </c>
      <c r="AE202" s="106"/>
      <c r="AF202" s="106"/>
    </row>
    <row r="203" spans="1:32" ht="135" customHeight="1" thickBot="1" x14ac:dyDescent="0.45">
      <c r="A203" s="233"/>
      <c r="B203" s="946" t="s">
        <v>1555</v>
      </c>
      <c r="C203" s="945"/>
      <c r="D203" s="389"/>
      <c r="E203" s="415">
        <v>0.1</v>
      </c>
      <c r="F203" s="419"/>
      <c r="G203" s="420"/>
      <c r="H203" s="421"/>
      <c r="I203" s="417">
        <f>+AVERAGE(I204:I205)</f>
        <v>0.24264705882352941</v>
      </c>
      <c r="J203" s="417">
        <f>+AVERAGE(J204:J205)</f>
        <v>0.30147058823529416</v>
      </c>
      <c r="K203" s="417">
        <f>+K204+K205</f>
        <v>0.24044117647058824</v>
      </c>
      <c r="L203" s="417">
        <f>+L204+L205</f>
        <v>0.31691176470588234</v>
      </c>
      <c r="M203" s="418"/>
      <c r="N203" s="424"/>
      <c r="O203" s="424"/>
      <c r="P203" s="424"/>
      <c r="Q203" s="424"/>
      <c r="R203" s="424"/>
      <c r="S203" s="424"/>
      <c r="T203" s="483">
        <f>+AVERAGE(T204:T205)</f>
        <v>1</v>
      </c>
      <c r="U203" s="483">
        <f>+AVERAGE(U204:U205)</f>
        <v>1</v>
      </c>
      <c r="V203" s="483">
        <f>+(V204+V205)*E203</f>
        <v>0.1</v>
      </c>
      <c r="W203" s="483">
        <f>+(W204+W205)*E203</f>
        <v>0.1</v>
      </c>
      <c r="X203" s="438">
        <f>+AVERAGE(X204:X205)</f>
        <v>0.24264705882352941</v>
      </c>
      <c r="Y203" s="508">
        <f>+AVERAGE(Y204:Y205)</f>
        <v>0.57352941176470584</v>
      </c>
      <c r="Z203" s="438">
        <f>+(Z204+Z205)*E203</f>
        <v>2.4044117647058827E-2</v>
      </c>
      <c r="AA203" s="499">
        <f>+(AA204+AA205)</f>
        <v>0.59558823529411775</v>
      </c>
      <c r="AB203" s="132"/>
      <c r="AC203" s="388"/>
      <c r="AD203" s="388"/>
      <c r="AE203" s="106"/>
      <c r="AF203" s="106"/>
    </row>
    <row r="204" spans="1:32" ht="135" customHeight="1" thickBot="1" x14ac:dyDescent="0.4">
      <c r="A204" s="233"/>
      <c r="B204" s="894" t="s">
        <v>342</v>
      </c>
      <c r="C204" s="894" t="s">
        <v>343</v>
      </c>
      <c r="D204" s="390" t="s">
        <v>297</v>
      </c>
      <c r="E204" s="422">
        <v>0.65</v>
      </c>
      <c r="F204" s="419">
        <v>17</v>
      </c>
      <c r="G204" s="420">
        <v>4</v>
      </c>
      <c r="H204" s="421">
        <v>6</v>
      </c>
      <c r="I204" s="474">
        <f>+G204/F204</f>
        <v>0.23529411764705882</v>
      </c>
      <c r="J204" s="459">
        <f t="shared" si="150"/>
        <v>0.35294117647058826</v>
      </c>
      <c r="K204" s="422">
        <f>+(G204/F204)*E204</f>
        <v>0.15294117647058825</v>
      </c>
      <c r="L204" s="425">
        <f>+(H204/F204)*E204</f>
        <v>0.22941176470588237</v>
      </c>
      <c r="M204" s="420">
        <v>4</v>
      </c>
      <c r="N204" s="495">
        <v>3</v>
      </c>
      <c r="O204" s="495">
        <v>4</v>
      </c>
      <c r="P204" s="495">
        <v>0</v>
      </c>
      <c r="Q204" s="421"/>
      <c r="R204" s="421">
        <f t="shared" si="143"/>
        <v>7</v>
      </c>
      <c r="S204" s="421">
        <f t="shared" si="144"/>
        <v>11</v>
      </c>
      <c r="T204" s="422">
        <f>+(M204/G204)</f>
        <v>1</v>
      </c>
      <c r="U204" s="425">
        <v>1</v>
      </c>
      <c r="V204" s="422">
        <f>+T204*E204</f>
        <v>0.65</v>
      </c>
      <c r="W204" s="425">
        <f t="shared" si="148"/>
        <v>0.65</v>
      </c>
      <c r="X204" s="442">
        <f>+M204/F204</f>
        <v>0.23529411764705882</v>
      </c>
      <c r="Y204" s="510">
        <f t="shared" si="147"/>
        <v>0.6470588235294118</v>
      </c>
      <c r="Z204" s="442">
        <f>+X204*E204</f>
        <v>0.15294117647058825</v>
      </c>
      <c r="AA204" s="443">
        <f>+Y204*E204</f>
        <v>0.42058823529411771</v>
      </c>
      <c r="AB204" s="139" t="s">
        <v>1775</v>
      </c>
      <c r="AC204" s="659" t="s">
        <v>1798</v>
      </c>
      <c r="AD204" s="659" t="s">
        <v>1860</v>
      </c>
      <c r="AE204" s="106"/>
      <c r="AF204" s="106"/>
    </row>
    <row r="205" spans="1:32" ht="135" customHeight="1" thickBot="1" x14ac:dyDescent="0.4">
      <c r="A205" s="233"/>
      <c r="B205" s="894" t="s">
        <v>344</v>
      </c>
      <c r="C205" s="894" t="s">
        <v>345</v>
      </c>
      <c r="D205" s="390" t="s">
        <v>297</v>
      </c>
      <c r="E205" s="422">
        <v>0.35</v>
      </c>
      <c r="F205" s="419">
        <v>4</v>
      </c>
      <c r="G205" s="420">
        <v>1</v>
      </c>
      <c r="H205" s="421">
        <v>1</v>
      </c>
      <c r="I205" s="422">
        <f>+G205/F205</f>
        <v>0.25</v>
      </c>
      <c r="J205" s="425">
        <f t="shared" si="150"/>
        <v>0.25</v>
      </c>
      <c r="K205" s="422">
        <f>+(G205/F205)*E205</f>
        <v>8.7499999999999994E-2</v>
      </c>
      <c r="L205" s="425">
        <f t="shared" si="152"/>
        <v>8.7499999999999994E-2</v>
      </c>
      <c r="M205" s="420">
        <v>1</v>
      </c>
      <c r="N205" s="495">
        <v>0</v>
      </c>
      <c r="O205" s="495">
        <v>1</v>
      </c>
      <c r="P205" s="495">
        <v>0</v>
      </c>
      <c r="Q205" s="421"/>
      <c r="R205" s="421">
        <f t="shared" si="143"/>
        <v>1</v>
      </c>
      <c r="S205" s="421">
        <f t="shared" si="144"/>
        <v>2</v>
      </c>
      <c r="T205" s="422">
        <f>+(M205/G205)</f>
        <v>1</v>
      </c>
      <c r="U205" s="425">
        <f t="shared" si="145"/>
        <v>1</v>
      </c>
      <c r="V205" s="422">
        <f>+T205*E205</f>
        <v>0.35</v>
      </c>
      <c r="W205" s="425">
        <f t="shared" si="148"/>
        <v>0.35</v>
      </c>
      <c r="X205" s="505">
        <f>+M205/F205</f>
        <v>0.25</v>
      </c>
      <c r="Y205" s="511">
        <f t="shared" si="147"/>
        <v>0.5</v>
      </c>
      <c r="Z205" s="442">
        <f>+X205*E205</f>
        <v>8.7499999999999994E-2</v>
      </c>
      <c r="AA205" s="443">
        <f>+Y205*E205</f>
        <v>0.17499999999999999</v>
      </c>
      <c r="AB205" s="139" t="s">
        <v>1775</v>
      </c>
      <c r="AC205" s="659" t="s">
        <v>1798</v>
      </c>
      <c r="AD205" s="659" t="s">
        <v>1860</v>
      </c>
      <c r="AE205" s="106"/>
      <c r="AF205" s="106"/>
    </row>
    <row r="206" spans="1:32" ht="135" customHeight="1" thickBot="1" x14ac:dyDescent="0.45">
      <c r="A206" s="233"/>
      <c r="B206" s="946" t="s">
        <v>1557</v>
      </c>
      <c r="C206" s="945"/>
      <c r="D206" s="389"/>
      <c r="E206" s="415">
        <v>0.05</v>
      </c>
      <c r="F206" s="419"/>
      <c r="G206" s="420"/>
      <c r="H206" s="421"/>
      <c r="I206" s="417">
        <f>+AVERAGE(I207:I208)</f>
        <v>0.20833333333333331</v>
      </c>
      <c r="J206" s="417">
        <f>+AVERAGE(J207:J208)</f>
        <v>0.2361111111111111</v>
      </c>
      <c r="K206" s="417">
        <f>+K207+K208</f>
        <v>0.2</v>
      </c>
      <c r="L206" s="417">
        <f>+L207+L208</f>
        <v>0.23888888888888887</v>
      </c>
      <c r="M206" s="418"/>
      <c r="N206" s="424"/>
      <c r="O206" s="424"/>
      <c r="P206" s="424"/>
      <c r="Q206" s="424"/>
      <c r="R206" s="424"/>
      <c r="S206" s="424"/>
      <c r="T206" s="483">
        <f>+AVERAGE(T207:T208)</f>
        <v>0.58611111111111103</v>
      </c>
      <c r="U206" s="483">
        <f>+AVERAGE(U207:U208)</f>
        <v>0.98333333333333339</v>
      </c>
      <c r="V206" s="483">
        <f>+(V207+V208)*E206</f>
        <v>3.2944444444444443E-2</v>
      </c>
      <c r="W206" s="507">
        <f>+(W207+W208)*E206</f>
        <v>4.9000000000000002E-2</v>
      </c>
      <c r="X206" s="508">
        <f>+AVERAGE(X207:X208)</f>
        <v>0.10694444444444444</v>
      </c>
      <c r="Y206" s="508">
        <f>+AVERAGE(Y207:Y208)</f>
        <v>0.34583333333333333</v>
      </c>
      <c r="Z206" s="438">
        <f>+(Z207+Z208)*E206</f>
        <v>5.8611111111111112E-3</v>
      </c>
      <c r="AA206" s="499">
        <f>+(AA207+AA208)</f>
        <v>0.35666666666666669</v>
      </c>
      <c r="AB206" s="132"/>
      <c r="AC206" s="388"/>
      <c r="AD206" s="388"/>
      <c r="AE206" s="106"/>
      <c r="AF206" s="106"/>
    </row>
    <row r="207" spans="1:32" ht="135" customHeight="1" thickBot="1" x14ac:dyDescent="0.4">
      <c r="A207" s="233"/>
      <c r="B207" s="894" t="s">
        <v>346</v>
      </c>
      <c r="C207" s="894" t="s">
        <v>347</v>
      </c>
      <c r="D207" s="390" t="s">
        <v>297</v>
      </c>
      <c r="E207" s="286">
        <v>0.6</v>
      </c>
      <c r="F207" s="419">
        <v>120</v>
      </c>
      <c r="G207" s="420">
        <v>20</v>
      </c>
      <c r="H207" s="421">
        <v>30</v>
      </c>
      <c r="I207" s="422">
        <f>+G207/F207</f>
        <v>0.16666666666666666</v>
      </c>
      <c r="J207" s="425">
        <f t="shared" si="150"/>
        <v>0.25</v>
      </c>
      <c r="K207" s="422">
        <f>+(G207/F207)*E207</f>
        <v>9.9999999999999992E-2</v>
      </c>
      <c r="L207" s="425">
        <f t="shared" si="152"/>
        <v>0.15</v>
      </c>
      <c r="M207" s="793">
        <v>19</v>
      </c>
      <c r="N207" s="495">
        <v>8</v>
      </c>
      <c r="O207" s="495">
        <v>10</v>
      </c>
      <c r="P207" s="495">
        <v>11</v>
      </c>
      <c r="Q207" s="421"/>
      <c r="R207" s="421">
        <f t="shared" si="143"/>
        <v>29</v>
      </c>
      <c r="S207" s="421">
        <f t="shared" si="144"/>
        <v>48</v>
      </c>
      <c r="T207" s="422">
        <f>+(M207/G207)</f>
        <v>0.95</v>
      </c>
      <c r="U207" s="425">
        <f t="shared" si="145"/>
        <v>0.96666666666666667</v>
      </c>
      <c r="V207" s="422">
        <f>+T207*E207</f>
        <v>0.56999999999999995</v>
      </c>
      <c r="W207" s="425">
        <f>+U207*E207</f>
        <v>0.57999999999999996</v>
      </c>
      <c r="X207" s="509">
        <f>+M207/F207</f>
        <v>0.15833333333333333</v>
      </c>
      <c r="Y207" s="510">
        <f t="shared" si="147"/>
        <v>0.4</v>
      </c>
      <c r="Z207" s="442">
        <f>+X207*E207</f>
        <v>9.4999999999999987E-2</v>
      </c>
      <c r="AA207" s="443">
        <f>+Y207*E207</f>
        <v>0.24</v>
      </c>
      <c r="AB207" s="139" t="s">
        <v>1775</v>
      </c>
      <c r="AC207" s="659" t="s">
        <v>1798</v>
      </c>
      <c r="AD207" s="659" t="s">
        <v>1860</v>
      </c>
      <c r="AE207" s="106"/>
      <c r="AF207" s="106"/>
    </row>
    <row r="208" spans="1:32" ht="135" customHeight="1" thickBot="1" x14ac:dyDescent="0.4">
      <c r="A208" s="233"/>
      <c r="B208" s="894" t="s">
        <v>348</v>
      </c>
      <c r="C208" s="894" t="s">
        <v>349</v>
      </c>
      <c r="D208" s="390" t="s">
        <v>297</v>
      </c>
      <c r="E208" s="286">
        <v>0.4</v>
      </c>
      <c r="F208" s="419">
        <v>72</v>
      </c>
      <c r="G208" s="420">
        <v>18</v>
      </c>
      <c r="H208" s="421">
        <v>16</v>
      </c>
      <c r="I208" s="422">
        <f>+G208/F208</f>
        <v>0.25</v>
      </c>
      <c r="J208" s="425">
        <f t="shared" si="150"/>
        <v>0.22222222222222221</v>
      </c>
      <c r="K208" s="422">
        <f>+(G208/F208)*E208</f>
        <v>0.1</v>
      </c>
      <c r="L208" s="425">
        <f t="shared" si="152"/>
        <v>8.8888888888888892E-2</v>
      </c>
      <c r="M208" s="793">
        <v>4</v>
      </c>
      <c r="N208" s="495">
        <v>4</v>
      </c>
      <c r="O208" s="495">
        <v>9</v>
      </c>
      <c r="P208" s="495">
        <v>4</v>
      </c>
      <c r="Q208" s="421"/>
      <c r="R208" s="421">
        <f t="shared" si="143"/>
        <v>17</v>
      </c>
      <c r="S208" s="421">
        <f>+R208+M208</f>
        <v>21</v>
      </c>
      <c r="T208" s="422">
        <f>+(M208/G208)</f>
        <v>0.22222222222222221</v>
      </c>
      <c r="U208" s="425">
        <v>1</v>
      </c>
      <c r="V208" s="422">
        <f>+T208*E208</f>
        <v>8.8888888888888892E-2</v>
      </c>
      <c r="W208" s="425">
        <f t="shared" si="148"/>
        <v>0.4</v>
      </c>
      <c r="X208" s="442">
        <f>+M208/F208</f>
        <v>5.5555555555555552E-2</v>
      </c>
      <c r="Y208" s="511">
        <f t="shared" si="147"/>
        <v>0.29166666666666669</v>
      </c>
      <c r="Z208" s="442">
        <f>+X208*E208</f>
        <v>2.2222222222222223E-2</v>
      </c>
      <c r="AA208" s="443">
        <f>+Y208*E208</f>
        <v>0.11666666666666668</v>
      </c>
      <c r="AB208" s="139" t="s">
        <v>1775</v>
      </c>
      <c r="AC208" s="659" t="s">
        <v>1798</v>
      </c>
      <c r="AD208" s="659" t="s">
        <v>1860</v>
      </c>
      <c r="AE208" s="106"/>
      <c r="AF208" s="106"/>
    </row>
    <row r="209" spans="1:32" ht="135" customHeight="1" thickBot="1" x14ac:dyDescent="0.45">
      <c r="A209" s="233"/>
      <c r="B209" s="946" t="s">
        <v>1556</v>
      </c>
      <c r="C209" s="945"/>
      <c r="D209" s="389"/>
      <c r="E209" s="415">
        <v>0.1</v>
      </c>
      <c r="F209" s="419"/>
      <c r="G209" s="420"/>
      <c r="H209" s="421"/>
      <c r="I209" s="417">
        <f>+AVERAGE(I210:I211)</f>
        <v>0.14262820512820512</v>
      </c>
      <c r="J209" s="417">
        <f>+AVERAGE(J210:J211)</f>
        <v>0.22275641025641027</v>
      </c>
      <c r="K209" s="417">
        <f>+K210+K211</f>
        <v>0.15576923076923077</v>
      </c>
      <c r="L209" s="417"/>
      <c r="M209" s="418"/>
      <c r="N209" s="424"/>
      <c r="O209" s="424"/>
      <c r="P209" s="424"/>
      <c r="Q209" s="424"/>
      <c r="R209" s="424"/>
      <c r="S209" s="424"/>
      <c r="T209" s="483">
        <f>+AVERAGE(T210:T211)</f>
        <v>1</v>
      </c>
      <c r="U209" s="483">
        <f>+AVERAGE(U210:U211)</f>
        <v>0.32142857142857145</v>
      </c>
      <c r="V209" s="483">
        <f>+(V210+V211)*E209</f>
        <v>0.1</v>
      </c>
      <c r="W209" s="483">
        <f>+(W210+W211)*F209</f>
        <v>0</v>
      </c>
      <c r="X209" s="438">
        <f>+AVERAGE(X210:X211)</f>
        <v>0.24038461538461539</v>
      </c>
      <c r="Y209" s="508">
        <f>+AVERAGE(Y210:Y211)</f>
        <v>0.33413461538461542</v>
      </c>
      <c r="Z209" s="438">
        <f>+(Z210+Z211)*E209</f>
        <v>2.4230769230769233E-2</v>
      </c>
      <c r="AA209" s="499">
        <f>+(AA210+AA211)</f>
        <v>0.35480769230769232</v>
      </c>
      <c r="AB209" s="132"/>
      <c r="AC209" s="388"/>
      <c r="AD209" s="388"/>
      <c r="AE209" s="106"/>
      <c r="AF209" s="106"/>
    </row>
    <row r="210" spans="1:32" ht="135" customHeight="1" thickBot="1" x14ac:dyDescent="0.4">
      <c r="A210" s="233"/>
      <c r="B210" s="397" t="s">
        <v>350</v>
      </c>
      <c r="C210" s="397" t="s">
        <v>351</v>
      </c>
      <c r="D210" s="394" t="s">
        <v>352</v>
      </c>
      <c r="E210" s="315">
        <v>0.4</v>
      </c>
      <c r="F210" s="419">
        <v>13</v>
      </c>
      <c r="G210" s="420">
        <v>1</v>
      </c>
      <c r="H210" s="421">
        <v>2</v>
      </c>
      <c r="I210" s="422">
        <f>+G210/F210</f>
        <v>7.6923076923076927E-2</v>
      </c>
      <c r="J210" s="425">
        <f t="shared" si="150"/>
        <v>0.15384615384615385</v>
      </c>
      <c r="K210" s="422">
        <f>+(G210/F210)*E210</f>
        <v>3.0769230769230771E-2</v>
      </c>
      <c r="L210" s="425"/>
      <c r="M210" s="420">
        <v>3</v>
      </c>
      <c r="N210" s="495">
        <v>0</v>
      </c>
      <c r="O210" s="495">
        <v>0</v>
      </c>
      <c r="P210" s="421"/>
      <c r="Q210" s="421"/>
      <c r="R210" s="421">
        <f t="shared" si="143"/>
        <v>0</v>
      </c>
      <c r="S210" s="421">
        <f t="shared" si="144"/>
        <v>3</v>
      </c>
      <c r="T210" s="422">
        <v>1</v>
      </c>
      <c r="U210" s="425">
        <f t="shared" si="145"/>
        <v>0</v>
      </c>
      <c r="V210" s="422">
        <f>+T210*E210</f>
        <v>0.4</v>
      </c>
      <c r="W210" s="425"/>
      <c r="X210" s="442">
        <f>+M210/F210</f>
        <v>0.23076923076923078</v>
      </c>
      <c r="Y210" s="510">
        <f t="shared" si="147"/>
        <v>0.23076923076923078</v>
      </c>
      <c r="Z210" s="442">
        <f>+X210*E210</f>
        <v>9.2307692307692313E-2</v>
      </c>
      <c r="AA210" s="443">
        <f>+Y210*E210</f>
        <v>9.2307692307692313E-2</v>
      </c>
      <c r="AB210" s="139" t="s">
        <v>1775</v>
      </c>
      <c r="AC210" s="661" t="s">
        <v>1842</v>
      </c>
      <c r="AD210" s="837" t="s">
        <v>1860</v>
      </c>
      <c r="AE210" s="106"/>
      <c r="AF210" s="106"/>
    </row>
    <row r="211" spans="1:32" ht="135" customHeight="1" thickBot="1" x14ac:dyDescent="0.4">
      <c r="A211" s="233"/>
      <c r="B211" s="893" t="s">
        <v>353</v>
      </c>
      <c r="C211" s="893" t="s">
        <v>354</v>
      </c>
      <c r="D211" s="394" t="s">
        <v>352</v>
      </c>
      <c r="E211" s="315">
        <v>0.6</v>
      </c>
      <c r="F211" s="419">
        <v>48</v>
      </c>
      <c r="G211" s="420">
        <v>10</v>
      </c>
      <c r="H211" s="421">
        <v>14</v>
      </c>
      <c r="I211" s="422">
        <f>+G211/F211</f>
        <v>0.20833333333333334</v>
      </c>
      <c r="J211" s="425">
        <f t="shared" si="150"/>
        <v>0.29166666666666669</v>
      </c>
      <c r="K211" s="422">
        <f>+(G211/F211)*E211</f>
        <v>0.125</v>
      </c>
      <c r="L211" s="425"/>
      <c r="M211" s="420">
        <v>12</v>
      </c>
      <c r="N211" s="495">
        <v>0</v>
      </c>
      <c r="O211" s="495">
        <v>0</v>
      </c>
      <c r="P211" s="495">
        <v>9</v>
      </c>
      <c r="Q211" s="421"/>
      <c r="R211" s="421">
        <f t="shared" si="143"/>
        <v>9</v>
      </c>
      <c r="S211" s="421">
        <f t="shared" si="144"/>
        <v>21</v>
      </c>
      <c r="T211" s="422">
        <v>1</v>
      </c>
      <c r="U211" s="425">
        <f t="shared" si="145"/>
        <v>0.6428571428571429</v>
      </c>
      <c r="V211" s="422">
        <f>+T211*E211</f>
        <v>0.6</v>
      </c>
      <c r="W211" s="425"/>
      <c r="X211" s="442">
        <f>+M211/F211</f>
        <v>0.25</v>
      </c>
      <c r="Y211" s="448">
        <f t="shared" si="147"/>
        <v>0.4375</v>
      </c>
      <c r="Z211" s="442">
        <f>+X211*E211</f>
        <v>0.15</v>
      </c>
      <c r="AA211" s="448">
        <f>+Y211*E211</f>
        <v>0.26250000000000001</v>
      </c>
      <c r="AB211" s="139" t="s">
        <v>1775</v>
      </c>
      <c r="AC211" s="661" t="s">
        <v>1842</v>
      </c>
      <c r="AD211" s="659" t="s">
        <v>1860</v>
      </c>
      <c r="AE211" s="106"/>
      <c r="AF211" s="106"/>
    </row>
    <row r="212" spans="1:32" ht="21" customHeight="1" thickBot="1" x14ac:dyDescent="0.45">
      <c r="A212" s="106"/>
      <c r="B212" s="272"/>
      <c r="C212" s="272"/>
      <c r="D212" s="106"/>
      <c r="E212" s="475"/>
      <c r="F212" s="475"/>
      <c r="G212" s="272"/>
      <c r="H212" s="272"/>
      <c r="I212" s="272"/>
      <c r="J212" s="272"/>
      <c r="K212" s="272"/>
      <c r="L212" s="272"/>
      <c r="M212" s="272"/>
      <c r="N212" s="272"/>
      <c r="O212" s="272"/>
      <c r="P212" s="272"/>
      <c r="Q212" s="272"/>
      <c r="R212" s="272"/>
      <c r="S212" s="272"/>
      <c r="T212" s="272"/>
      <c r="U212" s="272"/>
      <c r="V212" s="272"/>
      <c r="W212" s="272"/>
      <c r="X212" s="272"/>
      <c r="Y212" s="275"/>
      <c r="Z212" s="272"/>
      <c r="AA212" s="275"/>
      <c r="AB212" s="106"/>
      <c r="AC212" s="106"/>
      <c r="AD212" s="106"/>
      <c r="AE212" s="106"/>
      <c r="AF212" s="106"/>
    </row>
    <row r="213" spans="1:32" ht="21" customHeight="1" thickBot="1" x14ac:dyDescent="0.45">
      <c r="A213" s="106"/>
      <c r="B213" s="272"/>
      <c r="C213" s="272"/>
      <c r="D213" s="106"/>
      <c r="E213" s="475"/>
      <c r="F213" s="475"/>
      <c r="G213" s="272"/>
      <c r="H213" s="272"/>
      <c r="I213" s="272"/>
      <c r="J213" s="272"/>
      <c r="K213" s="272"/>
      <c r="L213" s="272"/>
      <c r="M213" s="272"/>
      <c r="N213" s="272"/>
      <c r="O213" s="272"/>
      <c r="P213" s="272"/>
      <c r="Q213" s="272"/>
      <c r="R213" s="272"/>
      <c r="S213" s="272"/>
      <c r="T213" s="272"/>
      <c r="U213" s="272"/>
      <c r="V213" s="272"/>
      <c r="W213" s="272"/>
      <c r="X213" s="272"/>
      <c r="Y213" s="272"/>
      <c r="Z213" s="272"/>
      <c r="AA213" s="272"/>
      <c r="AB213" s="106"/>
      <c r="AC213" s="106"/>
      <c r="AD213" s="106"/>
      <c r="AE213" s="106"/>
      <c r="AF213" s="106"/>
    </row>
    <row r="214" spans="1:32" ht="21" customHeight="1" thickBot="1" x14ac:dyDescent="0.45">
      <c r="A214" s="106"/>
      <c r="B214" s="398"/>
      <c r="C214" s="272"/>
      <c r="D214" s="106"/>
      <c r="E214" s="475"/>
      <c r="F214" s="475"/>
      <c r="G214" s="272"/>
      <c r="H214" s="272"/>
      <c r="I214" s="272"/>
      <c r="J214" s="272"/>
      <c r="K214" s="272"/>
      <c r="L214" s="272"/>
      <c r="M214" s="272"/>
      <c r="N214" s="272"/>
      <c r="O214" s="272"/>
      <c r="P214" s="272"/>
      <c r="Q214" s="272"/>
      <c r="R214" s="272"/>
      <c r="S214" s="272"/>
      <c r="T214" s="272"/>
      <c r="U214" s="272"/>
      <c r="V214" s="272"/>
      <c r="W214" s="272"/>
      <c r="X214" s="272"/>
      <c r="Y214" s="272"/>
      <c r="Z214" s="272"/>
      <c r="AA214" s="272"/>
      <c r="AB214" s="106"/>
      <c r="AC214" s="106"/>
      <c r="AD214" s="106"/>
      <c r="AE214" s="106"/>
      <c r="AF214" s="106"/>
    </row>
    <row r="215" spans="1:32" ht="21" customHeight="1" thickBot="1" x14ac:dyDescent="0.45">
      <c r="A215" s="106"/>
      <c r="B215" s="272"/>
      <c r="C215" s="272"/>
      <c r="D215" s="106"/>
      <c r="E215" s="475"/>
      <c r="F215" s="475"/>
      <c r="G215" s="272"/>
      <c r="H215" s="272"/>
      <c r="I215" s="272"/>
      <c r="J215" s="272"/>
      <c r="K215" s="272"/>
      <c r="L215" s="272"/>
      <c r="M215" s="272"/>
      <c r="N215" s="272"/>
      <c r="O215" s="272"/>
      <c r="P215" s="272"/>
      <c r="Q215" s="272"/>
      <c r="R215" s="272"/>
      <c r="S215" s="272"/>
      <c r="T215" s="272"/>
      <c r="U215" s="272"/>
      <c r="V215" s="272"/>
      <c r="W215" s="272"/>
      <c r="X215" s="272"/>
      <c r="Y215" s="272"/>
      <c r="Z215" s="272"/>
      <c r="AA215" s="272"/>
      <c r="AB215" s="106"/>
      <c r="AC215" s="106"/>
      <c r="AD215" s="106"/>
      <c r="AE215" s="106"/>
      <c r="AF215" s="106"/>
    </row>
    <row r="216" spans="1:32" ht="21" customHeight="1" thickBot="1" x14ac:dyDescent="0.45">
      <c r="A216" s="106"/>
      <c r="B216" s="272"/>
      <c r="C216" s="272"/>
      <c r="D216" s="106"/>
      <c r="E216" s="475"/>
      <c r="F216" s="475"/>
      <c r="G216" s="272"/>
      <c r="H216" s="272"/>
      <c r="I216" s="272"/>
      <c r="J216" s="272"/>
      <c r="K216" s="272"/>
      <c r="L216" s="272"/>
      <c r="M216" s="272"/>
      <c r="N216" s="272"/>
      <c r="O216" s="272"/>
      <c r="P216" s="272"/>
      <c r="Q216" s="272"/>
      <c r="R216" s="272"/>
      <c r="S216" s="272"/>
      <c r="T216" s="272"/>
      <c r="U216" s="272"/>
      <c r="V216" s="272"/>
      <c r="W216" s="272"/>
      <c r="X216" s="272"/>
      <c r="Y216" s="272"/>
      <c r="Z216" s="272"/>
      <c r="AA216" s="272"/>
      <c r="AB216" s="106"/>
      <c r="AC216" s="106"/>
      <c r="AD216" s="106"/>
      <c r="AE216" s="106"/>
      <c r="AF216" s="106"/>
    </row>
    <row r="217" spans="1:32" ht="21" customHeight="1" thickBot="1" x14ac:dyDescent="0.45">
      <c r="A217" s="106"/>
      <c r="B217" s="272"/>
      <c r="C217" s="272"/>
      <c r="D217" s="106"/>
      <c r="E217" s="475"/>
      <c r="F217" s="475"/>
      <c r="G217" s="272"/>
      <c r="H217" s="272"/>
      <c r="I217" s="272"/>
      <c r="J217" s="272"/>
      <c r="K217" s="272"/>
      <c r="L217" s="272"/>
      <c r="M217" s="272"/>
      <c r="N217" s="272"/>
      <c r="O217" s="272"/>
      <c r="P217" s="272"/>
      <c r="Q217" s="272"/>
      <c r="R217" s="272"/>
      <c r="S217" s="272"/>
      <c r="T217" s="272"/>
      <c r="U217" s="272"/>
      <c r="V217" s="272"/>
      <c r="W217" s="272"/>
      <c r="X217" s="272"/>
      <c r="Y217" s="272"/>
      <c r="Z217" s="272"/>
      <c r="AA217" s="272"/>
      <c r="AB217" s="106"/>
      <c r="AC217" s="106"/>
      <c r="AD217" s="106"/>
      <c r="AE217" s="106"/>
      <c r="AF217" s="106"/>
    </row>
    <row r="218" spans="1:32" ht="21" customHeight="1" thickBot="1" x14ac:dyDescent="0.45">
      <c r="A218" s="106"/>
      <c r="B218" s="272"/>
      <c r="C218" s="272"/>
      <c r="D218" s="106"/>
      <c r="E218" s="475"/>
      <c r="F218" s="475"/>
      <c r="G218" s="272"/>
      <c r="H218" s="272"/>
      <c r="I218" s="272"/>
      <c r="J218" s="272"/>
      <c r="K218" s="272"/>
      <c r="L218" s="272"/>
      <c r="M218" s="272"/>
      <c r="N218" s="272"/>
      <c r="O218" s="272"/>
      <c r="P218" s="272"/>
      <c r="Q218" s="272"/>
      <c r="R218" s="272"/>
      <c r="S218" s="272"/>
      <c r="T218" s="272"/>
      <c r="U218" s="272"/>
      <c r="V218" s="272"/>
      <c r="W218" s="272"/>
      <c r="X218" s="272"/>
      <c r="Y218" s="272"/>
      <c r="Z218" s="272"/>
      <c r="AA218" s="272"/>
      <c r="AB218" s="106"/>
      <c r="AC218" s="106"/>
      <c r="AD218" s="106"/>
      <c r="AE218" s="106"/>
      <c r="AF218" s="106"/>
    </row>
    <row r="219" spans="1:32" ht="21" customHeight="1" thickBot="1" x14ac:dyDescent="0.45">
      <c r="A219" s="106"/>
      <c r="B219" s="272"/>
      <c r="C219" s="272"/>
      <c r="D219" s="106"/>
      <c r="E219" s="475"/>
      <c r="F219" s="475"/>
      <c r="G219" s="272"/>
      <c r="H219" s="272"/>
      <c r="I219" s="272"/>
      <c r="J219" s="272"/>
      <c r="K219" s="272"/>
      <c r="L219" s="272"/>
      <c r="M219" s="272"/>
      <c r="N219" s="272"/>
      <c r="O219" s="272"/>
      <c r="P219" s="272"/>
      <c r="Q219" s="272"/>
      <c r="R219" s="272"/>
      <c r="S219" s="272"/>
      <c r="T219" s="272"/>
      <c r="U219" s="272"/>
      <c r="V219" s="272"/>
      <c r="W219" s="272"/>
      <c r="X219" s="272"/>
      <c r="Y219" s="272"/>
      <c r="Z219" s="272"/>
      <c r="AA219" s="272"/>
      <c r="AB219" s="106"/>
      <c r="AC219" s="106"/>
      <c r="AD219" s="106"/>
      <c r="AE219" s="106"/>
      <c r="AF219" s="106"/>
    </row>
    <row r="220" spans="1:32" ht="21" customHeight="1" thickBot="1" x14ac:dyDescent="0.45">
      <c r="A220" s="106"/>
      <c r="B220" s="272"/>
      <c r="C220" s="272"/>
      <c r="D220" s="106"/>
      <c r="E220" s="475"/>
      <c r="F220" s="475"/>
      <c r="G220" s="272"/>
      <c r="H220" s="272"/>
      <c r="I220" s="272"/>
      <c r="J220" s="272"/>
      <c r="K220" s="272"/>
      <c r="L220" s="272"/>
      <c r="M220" s="272"/>
      <c r="N220" s="272"/>
      <c r="O220" s="272"/>
      <c r="P220" s="272"/>
      <c r="Q220" s="272"/>
      <c r="R220" s="272"/>
      <c r="S220" s="272"/>
      <c r="T220" s="272"/>
      <c r="U220" s="272"/>
      <c r="V220" s="272"/>
      <c r="W220" s="272"/>
      <c r="X220" s="272"/>
      <c r="Y220" s="272"/>
      <c r="Z220" s="272"/>
      <c r="AA220" s="272"/>
      <c r="AB220" s="106"/>
      <c r="AC220" s="106"/>
      <c r="AD220" s="106"/>
      <c r="AE220" s="106"/>
      <c r="AF220" s="106"/>
    </row>
    <row r="221" spans="1:32" ht="21" customHeight="1" thickBot="1" x14ac:dyDescent="0.45">
      <c r="A221" s="106"/>
      <c r="B221" s="272"/>
      <c r="C221" s="272"/>
      <c r="D221" s="106"/>
      <c r="E221" s="475"/>
      <c r="F221" s="475"/>
      <c r="G221" s="272"/>
      <c r="H221" s="272"/>
      <c r="I221" s="272"/>
      <c r="J221" s="272"/>
      <c r="K221" s="272"/>
      <c r="L221" s="272"/>
      <c r="M221" s="272"/>
      <c r="N221" s="272"/>
      <c r="O221" s="272"/>
      <c r="P221" s="272"/>
      <c r="Q221" s="272"/>
      <c r="R221" s="272"/>
      <c r="S221" s="272"/>
      <c r="T221" s="272"/>
      <c r="U221" s="272"/>
      <c r="V221" s="272"/>
      <c r="W221" s="272"/>
      <c r="X221" s="272"/>
      <c r="Y221" s="272"/>
      <c r="Z221" s="272"/>
      <c r="AA221" s="272"/>
      <c r="AB221" s="106"/>
      <c r="AC221" s="106"/>
      <c r="AD221" s="106"/>
      <c r="AE221" s="106"/>
      <c r="AF221" s="106"/>
    </row>
    <row r="222" spans="1:32" ht="21" customHeight="1" thickBot="1" x14ac:dyDescent="0.45">
      <c r="A222" s="106"/>
      <c r="B222" s="272"/>
      <c r="C222" s="272"/>
      <c r="D222" s="106"/>
      <c r="E222" s="475"/>
      <c r="F222" s="475"/>
      <c r="G222" s="272"/>
      <c r="H222" s="272"/>
      <c r="I222" s="272"/>
      <c r="J222" s="272"/>
      <c r="K222" s="272"/>
      <c r="L222" s="272"/>
      <c r="M222" s="272"/>
      <c r="N222" s="272"/>
      <c r="O222" s="272"/>
      <c r="P222" s="272"/>
      <c r="Q222" s="272"/>
      <c r="R222" s="272"/>
      <c r="S222" s="272"/>
      <c r="T222" s="272"/>
      <c r="U222" s="272"/>
      <c r="V222" s="272"/>
      <c r="W222" s="272"/>
      <c r="X222" s="272"/>
      <c r="Y222" s="272"/>
      <c r="Z222" s="272"/>
      <c r="AA222" s="272"/>
      <c r="AB222" s="106"/>
      <c r="AC222" s="106"/>
      <c r="AD222" s="106"/>
      <c r="AE222" s="106"/>
      <c r="AF222" s="106"/>
    </row>
    <row r="223" spans="1:32" ht="21" customHeight="1" thickBot="1" x14ac:dyDescent="0.45">
      <c r="A223" s="106"/>
      <c r="B223" s="272"/>
      <c r="C223" s="272"/>
      <c r="D223" s="106"/>
      <c r="E223" s="475"/>
      <c r="F223" s="475"/>
      <c r="G223" s="272"/>
      <c r="H223" s="272"/>
      <c r="I223" s="272"/>
      <c r="J223" s="272"/>
      <c r="K223" s="272"/>
      <c r="L223" s="272"/>
      <c r="M223" s="272"/>
      <c r="N223" s="272"/>
      <c r="O223" s="272"/>
      <c r="P223" s="272"/>
      <c r="Q223" s="272"/>
      <c r="R223" s="272"/>
      <c r="S223" s="272"/>
      <c r="T223" s="272"/>
      <c r="U223" s="272"/>
      <c r="V223" s="272"/>
      <c r="W223" s="272"/>
      <c r="X223" s="272"/>
      <c r="Y223" s="272"/>
      <c r="Z223" s="272"/>
      <c r="AA223" s="272"/>
      <c r="AB223" s="106"/>
      <c r="AC223" s="106"/>
      <c r="AD223" s="106"/>
      <c r="AE223" s="106"/>
      <c r="AF223" s="106"/>
    </row>
    <row r="224" spans="1:32" ht="21" customHeight="1" thickBot="1" x14ac:dyDescent="0.45">
      <c r="A224" s="106"/>
      <c r="B224" s="272"/>
      <c r="C224" s="272"/>
      <c r="D224" s="106"/>
      <c r="E224" s="475"/>
      <c r="F224" s="475"/>
      <c r="G224" s="272"/>
      <c r="H224" s="272"/>
      <c r="I224" s="272"/>
      <c r="J224" s="272"/>
      <c r="K224" s="272"/>
      <c r="L224" s="272"/>
      <c r="M224" s="272"/>
      <c r="N224" s="272"/>
      <c r="O224" s="272"/>
      <c r="P224" s="272"/>
      <c r="Q224" s="272"/>
      <c r="R224" s="272"/>
      <c r="S224" s="272"/>
      <c r="T224" s="272"/>
      <c r="U224" s="272"/>
      <c r="V224" s="272"/>
      <c r="W224" s="272"/>
      <c r="X224" s="272"/>
      <c r="Y224" s="272"/>
      <c r="Z224" s="272"/>
      <c r="AA224" s="272"/>
      <c r="AB224" s="106"/>
      <c r="AC224" s="106"/>
      <c r="AD224" s="106"/>
      <c r="AE224" s="106"/>
      <c r="AF224" s="106"/>
    </row>
    <row r="225" spans="1:32" ht="21" customHeight="1" thickBot="1" x14ac:dyDescent="0.45">
      <c r="A225" s="106"/>
      <c r="B225" s="272"/>
      <c r="C225" s="272"/>
      <c r="D225" s="106"/>
      <c r="E225" s="475"/>
      <c r="F225" s="475"/>
      <c r="G225" s="272"/>
      <c r="H225" s="272"/>
      <c r="I225" s="272"/>
      <c r="J225" s="272"/>
      <c r="K225" s="272"/>
      <c r="L225" s="272"/>
      <c r="M225" s="272"/>
      <c r="N225" s="272"/>
      <c r="O225" s="272"/>
      <c r="P225" s="272"/>
      <c r="Q225" s="272"/>
      <c r="R225" s="272"/>
      <c r="S225" s="272"/>
      <c r="T225" s="272"/>
      <c r="U225" s="272"/>
      <c r="V225" s="272"/>
      <c r="W225" s="272"/>
      <c r="X225" s="272"/>
      <c r="Y225" s="272"/>
      <c r="Z225" s="272"/>
      <c r="AA225" s="272"/>
      <c r="AB225" s="106"/>
      <c r="AC225" s="106"/>
      <c r="AD225" s="106"/>
      <c r="AE225" s="106"/>
      <c r="AF225" s="106"/>
    </row>
    <row r="226" spans="1:32" ht="21" customHeight="1" thickBot="1" x14ac:dyDescent="0.45">
      <c r="A226" s="106"/>
      <c r="B226" s="272"/>
      <c r="C226" s="272"/>
      <c r="D226" s="106"/>
      <c r="E226" s="475"/>
      <c r="F226" s="475"/>
      <c r="G226" s="272"/>
      <c r="H226" s="272"/>
      <c r="I226" s="272"/>
      <c r="J226" s="272"/>
      <c r="K226" s="272"/>
      <c r="L226" s="272"/>
      <c r="M226" s="272"/>
      <c r="N226" s="272"/>
      <c r="O226" s="272"/>
      <c r="P226" s="272"/>
      <c r="Q226" s="272"/>
      <c r="R226" s="272"/>
      <c r="S226" s="272"/>
      <c r="T226" s="272"/>
      <c r="U226" s="272"/>
      <c r="V226" s="272"/>
      <c r="W226" s="272"/>
      <c r="X226" s="272"/>
      <c r="Y226" s="272"/>
      <c r="Z226" s="272"/>
      <c r="AA226" s="272"/>
      <c r="AB226" s="106"/>
      <c r="AC226" s="106"/>
      <c r="AD226" s="106"/>
      <c r="AE226" s="106"/>
      <c r="AF226" s="106"/>
    </row>
    <row r="227" spans="1:32" ht="21" customHeight="1" thickBot="1" x14ac:dyDescent="0.45">
      <c r="A227" s="106"/>
      <c r="B227" s="272"/>
      <c r="C227" s="272"/>
      <c r="D227" s="106"/>
      <c r="E227" s="475"/>
      <c r="F227" s="475"/>
      <c r="G227" s="272"/>
      <c r="H227" s="272"/>
      <c r="I227" s="272"/>
      <c r="J227" s="272"/>
      <c r="K227" s="272"/>
      <c r="L227" s="272"/>
      <c r="M227" s="272"/>
      <c r="N227" s="272"/>
      <c r="O227" s="272"/>
      <c r="P227" s="272"/>
      <c r="Q227" s="272"/>
      <c r="R227" s="272"/>
      <c r="S227" s="272"/>
      <c r="T227" s="272"/>
      <c r="U227" s="272"/>
      <c r="V227" s="272"/>
      <c r="W227" s="272"/>
      <c r="X227" s="272"/>
      <c r="Y227" s="272"/>
      <c r="Z227" s="272"/>
      <c r="AA227" s="272"/>
      <c r="AB227" s="106"/>
      <c r="AC227" s="106"/>
      <c r="AD227" s="106"/>
      <c r="AE227" s="106"/>
      <c r="AF227" s="106"/>
    </row>
    <row r="228" spans="1:32" ht="21" customHeight="1" thickBot="1" x14ac:dyDescent="0.45">
      <c r="A228" s="106"/>
      <c r="B228" s="272"/>
      <c r="C228" s="272"/>
      <c r="D228" s="106"/>
      <c r="E228" s="475"/>
      <c r="F228" s="475"/>
      <c r="G228" s="272"/>
      <c r="H228" s="272"/>
      <c r="I228" s="272"/>
      <c r="J228" s="272"/>
      <c r="K228" s="272"/>
      <c r="L228" s="272"/>
      <c r="M228" s="272"/>
      <c r="N228" s="272"/>
      <c r="O228" s="272"/>
      <c r="P228" s="272"/>
      <c r="Q228" s="272"/>
      <c r="R228" s="272"/>
      <c r="S228" s="272"/>
      <c r="T228" s="272"/>
      <c r="U228" s="272"/>
      <c r="V228" s="272"/>
      <c r="W228" s="272"/>
      <c r="X228" s="272"/>
      <c r="Y228" s="272"/>
      <c r="Z228" s="272"/>
      <c r="AA228" s="272"/>
      <c r="AB228" s="106"/>
      <c r="AC228" s="106"/>
      <c r="AD228" s="106"/>
      <c r="AE228" s="106"/>
      <c r="AF228" s="106"/>
    </row>
    <row r="229" spans="1:32" ht="21" customHeight="1" thickBot="1" x14ac:dyDescent="0.45">
      <c r="A229" s="106"/>
      <c r="B229" s="272"/>
      <c r="C229" s="272"/>
      <c r="D229" s="106"/>
      <c r="E229" s="475"/>
      <c r="F229" s="475"/>
      <c r="G229" s="272"/>
      <c r="H229" s="272"/>
      <c r="I229" s="272"/>
      <c r="J229" s="272"/>
      <c r="K229" s="272"/>
      <c r="L229" s="272"/>
      <c r="M229" s="272"/>
      <c r="N229" s="272"/>
      <c r="O229" s="272"/>
      <c r="P229" s="272"/>
      <c r="Q229" s="272"/>
      <c r="R229" s="272"/>
      <c r="S229" s="272"/>
      <c r="T229" s="272"/>
      <c r="U229" s="272"/>
      <c r="V229" s="272"/>
      <c r="W229" s="272"/>
      <c r="X229" s="272"/>
      <c r="Y229" s="272"/>
      <c r="Z229" s="272"/>
      <c r="AA229" s="272"/>
      <c r="AB229" s="106"/>
      <c r="AC229" s="106"/>
      <c r="AD229" s="106"/>
      <c r="AE229" s="106"/>
      <c r="AF229" s="106"/>
    </row>
    <row r="230" spans="1:32" ht="21" customHeight="1" thickBot="1" x14ac:dyDescent="0.45">
      <c r="A230" s="106"/>
      <c r="B230" s="272"/>
      <c r="C230" s="272"/>
      <c r="D230" s="106"/>
      <c r="E230" s="475"/>
      <c r="F230" s="475"/>
      <c r="G230" s="272"/>
      <c r="H230" s="272"/>
      <c r="I230" s="272"/>
      <c r="J230" s="272"/>
      <c r="K230" s="272"/>
      <c r="L230" s="272"/>
      <c r="M230" s="272"/>
      <c r="N230" s="272"/>
      <c r="O230" s="272"/>
      <c r="P230" s="272"/>
      <c r="Q230" s="272"/>
      <c r="R230" s="272"/>
      <c r="S230" s="272"/>
      <c r="T230" s="272"/>
      <c r="U230" s="272"/>
      <c r="V230" s="272"/>
      <c r="W230" s="272"/>
      <c r="X230" s="272"/>
      <c r="Y230" s="272"/>
      <c r="Z230" s="272"/>
      <c r="AA230" s="272"/>
      <c r="AB230" s="106"/>
      <c r="AC230" s="106"/>
      <c r="AD230" s="106"/>
      <c r="AE230" s="106"/>
      <c r="AF230" s="106"/>
    </row>
    <row r="231" spans="1:32" ht="21" customHeight="1" thickBot="1" x14ac:dyDescent="0.45">
      <c r="A231" s="106"/>
      <c r="B231" s="272"/>
      <c r="C231" s="272"/>
      <c r="D231" s="106"/>
      <c r="E231" s="475"/>
      <c r="F231" s="475"/>
      <c r="G231" s="272"/>
      <c r="H231" s="272"/>
      <c r="I231" s="272"/>
      <c r="J231" s="272"/>
      <c r="K231" s="272"/>
      <c r="L231" s="272"/>
      <c r="M231" s="272"/>
      <c r="N231" s="272"/>
      <c r="O231" s="272"/>
      <c r="P231" s="272"/>
      <c r="Q231" s="272"/>
      <c r="R231" s="272"/>
      <c r="S231" s="272"/>
      <c r="T231" s="272"/>
      <c r="U231" s="272"/>
      <c r="V231" s="272"/>
      <c r="W231" s="272"/>
      <c r="X231" s="272"/>
      <c r="Y231" s="272"/>
      <c r="Z231" s="272"/>
      <c r="AA231" s="272"/>
      <c r="AB231" s="106"/>
      <c r="AC231" s="106"/>
      <c r="AD231" s="106"/>
      <c r="AE231" s="106"/>
      <c r="AF231" s="106"/>
    </row>
    <row r="232" spans="1:32" ht="21" customHeight="1" thickBot="1" x14ac:dyDescent="0.45">
      <c r="A232" s="106"/>
      <c r="B232" s="272"/>
      <c r="C232" s="272"/>
      <c r="D232" s="106"/>
      <c r="E232" s="475"/>
      <c r="F232" s="475"/>
      <c r="G232" s="272"/>
      <c r="H232" s="272"/>
      <c r="I232" s="272"/>
      <c r="J232" s="272"/>
      <c r="K232" s="272"/>
      <c r="L232" s="272"/>
      <c r="M232" s="272"/>
      <c r="N232" s="272"/>
      <c r="O232" s="272"/>
      <c r="P232" s="272"/>
      <c r="Q232" s="272"/>
      <c r="R232" s="272"/>
      <c r="S232" s="272"/>
      <c r="T232" s="272"/>
      <c r="U232" s="272"/>
      <c r="V232" s="272"/>
      <c r="W232" s="272"/>
      <c r="X232" s="272"/>
      <c r="Y232" s="272"/>
      <c r="Z232" s="272"/>
      <c r="AA232" s="272"/>
      <c r="AB232" s="106"/>
      <c r="AC232" s="106"/>
      <c r="AD232" s="106"/>
      <c r="AE232" s="106"/>
      <c r="AF232" s="106"/>
    </row>
    <row r="233" spans="1:32" ht="21" customHeight="1" thickBot="1" x14ac:dyDescent="0.45">
      <c r="A233" s="106"/>
      <c r="B233" s="272"/>
      <c r="C233" s="272"/>
      <c r="D233" s="106"/>
      <c r="E233" s="475"/>
      <c r="F233" s="475"/>
      <c r="G233" s="272"/>
      <c r="H233" s="272"/>
      <c r="I233" s="272"/>
      <c r="J233" s="272"/>
      <c r="K233" s="272"/>
      <c r="L233" s="272"/>
      <c r="M233" s="272"/>
      <c r="N233" s="272"/>
      <c r="O233" s="272"/>
      <c r="P233" s="272"/>
      <c r="Q233" s="272"/>
      <c r="R233" s="272"/>
      <c r="S233" s="272"/>
      <c r="T233" s="272"/>
      <c r="U233" s="272"/>
      <c r="V233" s="272"/>
      <c r="W233" s="272"/>
      <c r="X233" s="272"/>
      <c r="Y233" s="272"/>
      <c r="Z233" s="272"/>
      <c r="AA233" s="272"/>
      <c r="AB233" s="106"/>
      <c r="AC233" s="106"/>
      <c r="AD233" s="106"/>
      <c r="AE233" s="106"/>
      <c r="AF233" s="106"/>
    </row>
    <row r="234" spans="1:32" ht="21" customHeight="1" thickBot="1" x14ac:dyDescent="0.45">
      <c r="A234" s="106"/>
      <c r="B234" s="272"/>
      <c r="C234" s="272"/>
      <c r="D234" s="106"/>
      <c r="E234" s="475"/>
      <c r="F234" s="475"/>
      <c r="G234" s="272"/>
      <c r="H234" s="272"/>
      <c r="I234" s="272"/>
      <c r="J234" s="272"/>
      <c r="K234" s="272"/>
      <c r="L234" s="272"/>
      <c r="M234" s="272"/>
      <c r="N234" s="272"/>
      <c r="O234" s="272"/>
      <c r="P234" s="272"/>
      <c r="Q234" s="272"/>
      <c r="R234" s="272"/>
      <c r="S234" s="272"/>
      <c r="T234" s="272"/>
      <c r="U234" s="272"/>
      <c r="V234" s="272"/>
      <c r="W234" s="272"/>
      <c r="X234" s="272"/>
      <c r="Y234" s="272"/>
      <c r="Z234" s="272"/>
      <c r="AA234" s="272"/>
      <c r="AB234" s="106"/>
      <c r="AC234" s="106"/>
      <c r="AD234" s="106"/>
      <c r="AE234" s="106"/>
      <c r="AF234" s="106"/>
    </row>
    <row r="235" spans="1:32" ht="21" customHeight="1" thickBot="1" x14ac:dyDescent="0.45">
      <c r="A235" s="106"/>
      <c r="B235" s="272"/>
      <c r="C235" s="272"/>
      <c r="D235" s="106"/>
      <c r="E235" s="475"/>
      <c r="F235" s="475"/>
      <c r="G235" s="272"/>
      <c r="H235" s="272"/>
      <c r="I235" s="272"/>
      <c r="J235" s="272"/>
      <c r="K235" s="272"/>
      <c r="L235" s="272"/>
      <c r="M235" s="272"/>
      <c r="N235" s="272"/>
      <c r="O235" s="272"/>
      <c r="P235" s="272"/>
      <c r="Q235" s="272"/>
      <c r="R235" s="272"/>
      <c r="S235" s="272"/>
      <c r="T235" s="272"/>
      <c r="U235" s="272"/>
      <c r="V235" s="272"/>
      <c r="W235" s="272"/>
      <c r="X235" s="272"/>
      <c r="Y235" s="272"/>
      <c r="Z235" s="272"/>
      <c r="AA235" s="272"/>
      <c r="AB235" s="106"/>
      <c r="AC235" s="106"/>
      <c r="AD235" s="106"/>
      <c r="AE235" s="106"/>
      <c r="AF235" s="106"/>
    </row>
    <row r="236" spans="1:32" ht="21" customHeight="1" thickBot="1" x14ac:dyDescent="0.45">
      <c r="A236" s="106"/>
      <c r="B236" s="272"/>
      <c r="C236" s="272"/>
      <c r="D236" s="106"/>
      <c r="E236" s="475"/>
      <c r="F236" s="475"/>
      <c r="G236" s="272"/>
      <c r="H236" s="272"/>
      <c r="I236" s="272"/>
      <c r="J236" s="272"/>
      <c r="K236" s="272"/>
      <c r="L236" s="272"/>
      <c r="M236" s="272"/>
      <c r="N236" s="272"/>
      <c r="O236" s="272"/>
      <c r="P236" s="272"/>
      <c r="Q236" s="272"/>
      <c r="R236" s="272"/>
      <c r="S236" s="272"/>
      <c r="T236" s="272"/>
      <c r="U236" s="272"/>
      <c r="V236" s="272"/>
      <c r="W236" s="272"/>
      <c r="X236" s="272"/>
      <c r="Y236" s="272"/>
      <c r="Z236" s="272"/>
      <c r="AA236" s="272"/>
      <c r="AB236" s="106"/>
      <c r="AC236" s="106"/>
      <c r="AD236" s="106"/>
      <c r="AE236" s="106"/>
      <c r="AF236" s="106"/>
    </row>
    <row r="237" spans="1:32" ht="21" customHeight="1" thickBot="1" x14ac:dyDescent="0.45">
      <c r="A237" s="106"/>
      <c r="B237" s="272"/>
      <c r="C237" s="272"/>
      <c r="D237" s="106"/>
      <c r="E237" s="475"/>
      <c r="F237" s="475"/>
      <c r="G237" s="272"/>
      <c r="H237" s="272"/>
      <c r="I237" s="272"/>
      <c r="J237" s="272"/>
      <c r="K237" s="272"/>
      <c r="L237" s="272"/>
      <c r="M237" s="272"/>
      <c r="N237" s="272"/>
      <c r="O237" s="272"/>
      <c r="P237" s="272"/>
      <c r="Q237" s="272"/>
      <c r="R237" s="272"/>
      <c r="S237" s="272"/>
      <c r="T237" s="272"/>
      <c r="U237" s="272"/>
      <c r="V237" s="272"/>
      <c r="W237" s="272"/>
      <c r="X237" s="272"/>
      <c r="Y237" s="272"/>
      <c r="Z237" s="272"/>
      <c r="AA237" s="272"/>
      <c r="AB237" s="106"/>
      <c r="AC237" s="106"/>
      <c r="AD237" s="106"/>
      <c r="AE237" s="106"/>
      <c r="AF237" s="106"/>
    </row>
    <row r="238" spans="1:32" ht="21" customHeight="1" thickBot="1" x14ac:dyDescent="0.45">
      <c r="A238" s="106"/>
      <c r="B238" s="272"/>
      <c r="C238" s="272"/>
      <c r="D238" s="106"/>
      <c r="E238" s="475"/>
      <c r="F238" s="475"/>
      <c r="G238" s="272"/>
      <c r="H238" s="272"/>
      <c r="I238" s="272"/>
      <c r="J238" s="272"/>
      <c r="K238" s="272"/>
      <c r="L238" s="272"/>
      <c r="M238" s="272"/>
      <c r="N238" s="272"/>
      <c r="O238" s="272"/>
      <c r="P238" s="272"/>
      <c r="Q238" s="272"/>
      <c r="R238" s="272"/>
      <c r="S238" s="272"/>
      <c r="T238" s="272"/>
      <c r="U238" s="272"/>
      <c r="V238" s="272"/>
      <c r="W238" s="272"/>
      <c r="X238" s="272"/>
      <c r="Y238" s="272"/>
      <c r="Z238" s="272"/>
      <c r="AA238" s="272"/>
      <c r="AB238" s="106"/>
      <c r="AC238" s="106"/>
      <c r="AD238" s="106"/>
      <c r="AE238" s="106"/>
      <c r="AF238" s="106"/>
    </row>
    <row r="239" spans="1:32" ht="21" customHeight="1" thickBot="1" x14ac:dyDescent="0.45">
      <c r="A239" s="106"/>
      <c r="B239" s="272"/>
      <c r="C239" s="272"/>
      <c r="D239" s="106"/>
      <c r="E239" s="475"/>
      <c r="F239" s="475"/>
      <c r="G239" s="272"/>
      <c r="H239" s="272"/>
      <c r="I239" s="272"/>
      <c r="J239" s="272"/>
      <c r="K239" s="272"/>
      <c r="L239" s="272"/>
      <c r="M239" s="272"/>
      <c r="N239" s="272"/>
      <c r="O239" s="272"/>
      <c r="P239" s="272"/>
      <c r="Q239" s="272"/>
      <c r="R239" s="272"/>
      <c r="S239" s="272"/>
      <c r="T239" s="272"/>
      <c r="U239" s="272"/>
      <c r="V239" s="272"/>
      <c r="W239" s="272"/>
      <c r="X239" s="272"/>
      <c r="Y239" s="272"/>
      <c r="Z239" s="272"/>
      <c r="AA239" s="272"/>
      <c r="AB239" s="106"/>
      <c r="AC239" s="106"/>
      <c r="AD239" s="106"/>
      <c r="AE239" s="106"/>
      <c r="AF239" s="106"/>
    </row>
    <row r="240" spans="1:32" ht="21" customHeight="1" thickBot="1" x14ac:dyDescent="0.45">
      <c r="A240" s="106"/>
      <c r="B240" s="272"/>
      <c r="C240" s="272"/>
      <c r="D240" s="106"/>
      <c r="E240" s="475"/>
      <c r="F240" s="475"/>
      <c r="G240" s="272"/>
      <c r="H240" s="272"/>
      <c r="I240" s="272"/>
      <c r="J240" s="272"/>
      <c r="K240" s="272"/>
      <c r="L240" s="272"/>
      <c r="M240" s="272"/>
      <c r="N240" s="272"/>
      <c r="O240" s="272"/>
      <c r="P240" s="272"/>
      <c r="Q240" s="272"/>
      <c r="R240" s="272"/>
      <c r="S240" s="272"/>
      <c r="T240" s="272"/>
      <c r="U240" s="272"/>
      <c r="V240" s="272"/>
      <c r="W240" s="272"/>
      <c r="X240" s="272"/>
      <c r="Y240" s="272"/>
      <c r="Z240" s="272"/>
      <c r="AA240" s="272"/>
      <c r="AB240" s="106"/>
      <c r="AC240" s="106"/>
      <c r="AD240" s="106"/>
      <c r="AE240" s="106"/>
      <c r="AF240" s="106"/>
    </row>
    <row r="241" spans="1:32" ht="21" customHeight="1" thickBot="1" x14ac:dyDescent="0.45">
      <c r="A241" s="106"/>
      <c r="B241" s="272"/>
      <c r="C241" s="272"/>
      <c r="D241" s="106"/>
      <c r="E241" s="475"/>
      <c r="F241" s="475"/>
      <c r="G241" s="272"/>
      <c r="H241" s="272"/>
      <c r="I241" s="272"/>
      <c r="J241" s="272"/>
      <c r="K241" s="272"/>
      <c r="L241" s="272"/>
      <c r="M241" s="272"/>
      <c r="N241" s="272"/>
      <c r="O241" s="272"/>
      <c r="P241" s="272"/>
      <c r="Q241" s="272"/>
      <c r="R241" s="272"/>
      <c r="S241" s="272"/>
      <c r="T241" s="272"/>
      <c r="U241" s="272"/>
      <c r="V241" s="272"/>
      <c r="W241" s="272"/>
      <c r="X241" s="272"/>
      <c r="Y241" s="272"/>
      <c r="Z241" s="272"/>
      <c r="AA241" s="272"/>
      <c r="AB241" s="106"/>
      <c r="AC241" s="106"/>
      <c r="AD241" s="106"/>
      <c r="AE241" s="106"/>
      <c r="AF241" s="106"/>
    </row>
    <row r="242" spans="1:32" ht="21" customHeight="1" thickBot="1" x14ac:dyDescent="0.45">
      <c r="A242" s="106"/>
      <c r="B242" s="272"/>
      <c r="C242" s="272"/>
      <c r="D242" s="106"/>
      <c r="E242" s="475"/>
      <c r="F242" s="475"/>
      <c r="G242" s="272"/>
      <c r="H242" s="272"/>
      <c r="I242" s="272"/>
      <c r="J242" s="272"/>
      <c r="K242" s="272"/>
      <c r="L242" s="272"/>
      <c r="M242" s="272"/>
      <c r="N242" s="272"/>
      <c r="O242" s="272"/>
      <c r="P242" s="272"/>
      <c r="Q242" s="272"/>
      <c r="R242" s="272"/>
      <c r="S242" s="272"/>
      <c r="T242" s="272"/>
      <c r="U242" s="272"/>
      <c r="V242" s="272"/>
      <c r="W242" s="272"/>
      <c r="X242" s="272"/>
      <c r="Y242" s="272"/>
      <c r="Z242" s="272"/>
      <c r="AA242" s="272"/>
      <c r="AB242" s="106"/>
      <c r="AC242" s="106"/>
      <c r="AD242" s="106"/>
      <c r="AE242" s="106"/>
      <c r="AF242" s="106"/>
    </row>
    <row r="243" spans="1:32" ht="21" customHeight="1" thickBot="1" x14ac:dyDescent="0.45">
      <c r="A243" s="106"/>
      <c r="B243" s="272"/>
      <c r="C243" s="272"/>
      <c r="D243" s="106"/>
      <c r="E243" s="475"/>
      <c r="F243" s="475"/>
      <c r="G243" s="272"/>
      <c r="H243" s="272"/>
      <c r="I243" s="272"/>
      <c r="J243" s="272"/>
      <c r="K243" s="272"/>
      <c r="L243" s="272"/>
      <c r="M243" s="272"/>
      <c r="N243" s="272"/>
      <c r="O243" s="272"/>
      <c r="P243" s="272"/>
      <c r="Q243" s="272"/>
      <c r="R243" s="272"/>
      <c r="S243" s="272"/>
      <c r="T243" s="272"/>
      <c r="U243" s="272"/>
      <c r="V243" s="272"/>
      <c r="W243" s="272"/>
      <c r="X243" s="272"/>
      <c r="Y243" s="272"/>
      <c r="Z243" s="272"/>
      <c r="AA243" s="272"/>
      <c r="AB243" s="106"/>
      <c r="AC243" s="106"/>
      <c r="AD243" s="106"/>
      <c r="AE243" s="106"/>
      <c r="AF243" s="106"/>
    </row>
    <row r="244" spans="1:32" ht="21" customHeight="1" thickBot="1" x14ac:dyDescent="0.45">
      <c r="A244" s="106"/>
      <c r="B244" s="272"/>
      <c r="C244" s="272"/>
      <c r="D244" s="106"/>
      <c r="E244" s="475"/>
      <c r="F244" s="475"/>
      <c r="G244" s="272"/>
      <c r="H244" s="272"/>
      <c r="I244" s="272"/>
      <c r="J244" s="272"/>
      <c r="K244" s="272"/>
      <c r="L244" s="272"/>
      <c r="M244" s="272"/>
      <c r="N244" s="272"/>
      <c r="O244" s="272"/>
      <c r="P244" s="272"/>
      <c r="Q244" s="272"/>
      <c r="R244" s="272"/>
      <c r="S244" s="272"/>
      <c r="T244" s="272"/>
      <c r="U244" s="272"/>
      <c r="V244" s="272"/>
      <c r="W244" s="272"/>
      <c r="X244" s="272"/>
      <c r="Y244" s="272"/>
      <c r="Z244" s="272"/>
      <c r="AA244" s="272"/>
      <c r="AB244" s="106"/>
      <c r="AC244" s="106"/>
      <c r="AD244" s="106"/>
      <c r="AE244" s="106"/>
      <c r="AF244" s="106"/>
    </row>
    <row r="245" spans="1:32" ht="21" customHeight="1" thickBot="1" x14ac:dyDescent="0.45">
      <c r="A245" s="106"/>
      <c r="B245" s="272"/>
      <c r="C245" s="272"/>
      <c r="D245" s="106"/>
      <c r="E245" s="475"/>
      <c r="F245" s="475"/>
      <c r="G245" s="272"/>
      <c r="H245" s="272"/>
      <c r="I245" s="272"/>
      <c r="J245" s="272"/>
      <c r="K245" s="272"/>
      <c r="L245" s="272"/>
      <c r="M245" s="272"/>
      <c r="N245" s="272"/>
      <c r="O245" s="272"/>
      <c r="P245" s="272"/>
      <c r="Q245" s="272"/>
      <c r="R245" s="272"/>
      <c r="S245" s="272"/>
      <c r="T245" s="272"/>
      <c r="U245" s="272"/>
      <c r="V245" s="272"/>
      <c r="W245" s="272"/>
      <c r="X245" s="272"/>
      <c r="Y245" s="272"/>
      <c r="Z245" s="272"/>
      <c r="AA245" s="272"/>
      <c r="AB245" s="106"/>
      <c r="AC245" s="106"/>
      <c r="AD245" s="106"/>
      <c r="AE245" s="106"/>
      <c r="AF245" s="106"/>
    </row>
    <row r="246" spans="1:32" ht="21" customHeight="1" thickBot="1" x14ac:dyDescent="0.45">
      <c r="A246" s="106"/>
      <c r="B246" s="272"/>
      <c r="C246" s="272"/>
      <c r="D246" s="106"/>
      <c r="E246" s="475"/>
      <c r="F246" s="475"/>
      <c r="G246" s="272"/>
      <c r="H246" s="272"/>
      <c r="I246" s="272"/>
      <c r="J246" s="272"/>
      <c r="K246" s="272"/>
      <c r="L246" s="272"/>
      <c r="M246" s="272"/>
      <c r="N246" s="272"/>
      <c r="O246" s="272"/>
      <c r="P246" s="272"/>
      <c r="Q246" s="272"/>
      <c r="R246" s="272"/>
      <c r="S246" s="272"/>
      <c r="T246" s="272"/>
      <c r="U246" s="272"/>
      <c r="V246" s="272"/>
      <c r="W246" s="272"/>
      <c r="X246" s="272"/>
      <c r="Y246" s="272"/>
      <c r="Z246" s="272"/>
      <c r="AA246" s="272"/>
      <c r="AB246" s="106"/>
      <c r="AC246" s="106"/>
      <c r="AD246" s="106"/>
      <c r="AE246" s="106"/>
      <c r="AF246" s="106"/>
    </row>
    <row r="247" spans="1:32" ht="21" customHeight="1" thickBot="1" x14ac:dyDescent="0.45">
      <c r="A247" s="106"/>
      <c r="B247" s="272"/>
      <c r="C247" s="272"/>
      <c r="D247" s="106"/>
      <c r="E247" s="475"/>
      <c r="F247" s="475"/>
      <c r="G247" s="272"/>
      <c r="H247" s="272"/>
      <c r="I247" s="272"/>
      <c r="J247" s="272"/>
      <c r="K247" s="272"/>
      <c r="L247" s="272"/>
      <c r="M247" s="272"/>
      <c r="N247" s="272"/>
      <c r="O247" s="272"/>
      <c r="P247" s="272"/>
      <c r="Q247" s="272"/>
      <c r="R247" s="272"/>
      <c r="S247" s="272"/>
      <c r="T247" s="272"/>
      <c r="U247" s="272"/>
      <c r="V247" s="272"/>
      <c r="W247" s="272"/>
      <c r="X247" s="272"/>
      <c r="Y247" s="272"/>
      <c r="Z247" s="272"/>
      <c r="AA247" s="272"/>
      <c r="AB247" s="106"/>
      <c r="AC247" s="106"/>
      <c r="AD247" s="106"/>
      <c r="AE247" s="106"/>
      <c r="AF247" s="106"/>
    </row>
    <row r="248" spans="1:32" ht="21" customHeight="1" thickBot="1" x14ac:dyDescent="0.45">
      <c r="A248" s="106"/>
      <c r="B248" s="272"/>
      <c r="C248" s="272"/>
      <c r="D248" s="106"/>
      <c r="E248" s="475"/>
      <c r="F248" s="475"/>
      <c r="G248" s="272"/>
      <c r="H248" s="272"/>
      <c r="I248" s="272"/>
      <c r="J248" s="272"/>
      <c r="K248" s="272"/>
      <c r="L248" s="272"/>
      <c r="M248" s="272"/>
      <c r="N248" s="272"/>
      <c r="O248" s="272"/>
      <c r="P248" s="272"/>
      <c r="Q248" s="272"/>
      <c r="R248" s="272"/>
      <c r="S248" s="272"/>
      <c r="T248" s="272"/>
      <c r="U248" s="272"/>
      <c r="V248" s="272"/>
      <c r="W248" s="272"/>
      <c r="X248" s="272"/>
      <c r="Y248" s="272"/>
      <c r="Z248" s="272"/>
      <c r="AA248" s="272"/>
      <c r="AB248" s="106"/>
      <c r="AC248" s="106"/>
      <c r="AD248" s="106"/>
      <c r="AE248" s="106"/>
      <c r="AF248" s="106"/>
    </row>
    <row r="249" spans="1:32" ht="21" customHeight="1" thickBot="1" x14ac:dyDescent="0.45">
      <c r="A249" s="106"/>
      <c r="B249" s="272"/>
      <c r="C249" s="272"/>
      <c r="D249" s="106"/>
      <c r="E249" s="475"/>
      <c r="F249" s="475"/>
      <c r="G249" s="272"/>
      <c r="H249" s="272"/>
      <c r="I249" s="272"/>
      <c r="J249" s="272"/>
      <c r="K249" s="272"/>
      <c r="L249" s="272"/>
      <c r="M249" s="272"/>
      <c r="N249" s="272"/>
      <c r="O249" s="272"/>
      <c r="P249" s="272"/>
      <c r="Q249" s="272"/>
      <c r="R249" s="272"/>
      <c r="S249" s="272"/>
      <c r="T249" s="272"/>
      <c r="U249" s="272"/>
      <c r="V249" s="272"/>
      <c r="W249" s="272"/>
      <c r="X249" s="272"/>
      <c r="Y249" s="272"/>
      <c r="Z249" s="272"/>
      <c r="AA249" s="272"/>
      <c r="AB249" s="106"/>
      <c r="AC249" s="106"/>
      <c r="AD249" s="106"/>
      <c r="AE249" s="106"/>
      <c r="AF249" s="106"/>
    </row>
    <row r="250" spans="1:32" ht="21" customHeight="1" thickBot="1" x14ac:dyDescent="0.45">
      <c r="A250" s="106"/>
      <c r="B250" s="272"/>
      <c r="C250" s="272"/>
      <c r="D250" s="106"/>
      <c r="E250" s="475"/>
      <c r="F250" s="475"/>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106"/>
      <c r="AC250" s="106"/>
      <c r="AD250" s="106"/>
      <c r="AE250" s="106"/>
      <c r="AF250" s="106"/>
    </row>
    <row r="251" spans="1:32" ht="21" customHeight="1" thickBot="1" x14ac:dyDescent="0.45">
      <c r="A251" s="106"/>
      <c r="B251" s="272"/>
      <c r="C251" s="272"/>
      <c r="D251" s="106"/>
      <c r="E251" s="475"/>
      <c r="F251" s="475"/>
      <c r="G251" s="272"/>
      <c r="H251" s="272"/>
      <c r="I251" s="272"/>
      <c r="J251" s="272"/>
      <c r="K251" s="272"/>
      <c r="L251" s="272"/>
      <c r="M251" s="272"/>
      <c r="N251" s="272"/>
      <c r="O251" s="272"/>
      <c r="P251" s="272"/>
      <c r="Q251" s="272"/>
      <c r="R251" s="272"/>
      <c r="S251" s="272"/>
      <c r="T251" s="272"/>
      <c r="U251" s="272"/>
      <c r="V251" s="272"/>
      <c r="W251" s="272"/>
      <c r="X251" s="272"/>
      <c r="Y251" s="272"/>
      <c r="Z251" s="272"/>
      <c r="AA251" s="272"/>
      <c r="AB251" s="106"/>
      <c r="AC251" s="106"/>
      <c r="AD251" s="106"/>
      <c r="AE251" s="106"/>
      <c r="AF251" s="106"/>
    </row>
    <row r="252" spans="1:32" ht="21" customHeight="1" thickBot="1" x14ac:dyDescent="0.45">
      <c r="A252" s="106"/>
      <c r="B252" s="272"/>
      <c r="C252" s="272"/>
      <c r="D252" s="106"/>
      <c r="E252" s="475"/>
      <c r="F252" s="475"/>
      <c r="G252" s="272"/>
      <c r="H252" s="272"/>
      <c r="I252" s="272"/>
      <c r="J252" s="272"/>
      <c r="K252" s="272"/>
      <c r="L252" s="272"/>
      <c r="M252" s="272"/>
      <c r="N252" s="272"/>
      <c r="O252" s="272"/>
      <c r="P252" s="272"/>
      <c r="Q252" s="272"/>
      <c r="R252" s="272"/>
      <c r="S252" s="272"/>
      <c r="T252" s="272"/>
      <c r="U252" s="272"/>
      <c r="V252" s="272"/>
      <c r="W252" s="272"/>
      <c r="X252" s="272"/>
      <c r="Y252" s="272"/>
      <c r="Z252" s="272"/>
      <c r="AA252" s="272"/>
      <c r="AB252" s="106"/>
      <c r="AC252" s="106"/>
      <c r="AD252" s="106"/>
      <c r="AE252" s="106"/>
      <c r="AF252" s="106"/>
    </row>
    <row r="253" spans="1:32" ht="21" customHeight="1" thickBot="1" x14ac:dyDescent="0.45">
      <c r="A253" s="106"/>
      <c r="B253" s="272"/>
      <c r="C253" s="272"/>
      <c r="D253" s="106"/>
      <c r="E253" s="475"/>
      <c r="F253" s="475"/>
      <c r="G253" s="272"/>
      <c r="H253" s="272"/>
      <c r="I253" s="272"/>
      <c r="J253" s="272"/>
      <c r="K253" s="272"/>
      <c r="L253" s="272"/>
      <c r="M253" s="272"/>
      <c r="N253" s="272"/>
      <c r="O253" s="272"/>
      <c r="P253" s="272"/>
      <c r="Q253" s="272"/>
      <c r="R253" s="272"/>
      <c r="S253" s="272"/>
      <c r="T253" s="272"/>
      <c r="U253" s="272"/>
      <c r="V253" s="272"/>
      <c r="W253" s="272"/>
      <c r="X253" s="272"/>
      <c r="Y253" s="272"/>
      <c r="Z253" s="272"/>
      <c r="AA253" s="272"/>
      <c r="AB253" s="106"/>
      <c r="AC253" s="106"/>
      <c r="AD253" s="106"/>
      <c r="AE253" s="106"/>
      <c r="AF253" s="106"/>
    </row>
    <row r="254" spans="1:32" ht="21" customHeight="1" thickBot="1" x14ac:dyDescent="0.45">
      <c r="A254" s="106"/>
      <c r="B254" s="272"/>
      <c r="C254" s="272"/>
      <c r="D254" s="106"/>
      <c r="E254" s="475"/>
      <c r="F254" s="475"/>
      <c r="G254" s="272"/>
      <c r="H254" s="272"/>
      <c r="I254" s="272"/>
      <c r="J254" s="272"/>
      <c r="K254" s="272"/>
      <c r="L254" s="272"/>
      <c r="M254" s="272"/>
      <c r="N254" s="272"/>
      <c r="O254" s="272"/>
      <c r="P254" s="272"/>
      <c r="Q254" s="272"/>
      <c r="R254" s="272"/>
      <c r="S254" s="272"/>
      <c r="T254" s="272"/>
      <c r="U254" s="272"/>
      <c r="V254" s="272"/>
      <c r="W254" s="272"/>
      <c r="X254" s="272"/>
      <c r="Y254" s="272"/>
      <c r="Z254" s="272"/>
      <c r="AA254" s="272"/>
      <c r="AB254" s="106"/>
      <c r="AC254" s="106"/>
      <c r="AD254" s="106"/>
      <c r="AE254" s="106"/>
      <c r="AF254" s="106"/>
    </row>
    <row r="255" spans="1:32" ht="21" customHeight="1" thickBot="1" x14ac:dyDescent="0.45">
      <c r="A255" s="106"/>
      <c r="B255" s="272"/>
      <c r="C255" s="272"/>
      <c r="D255" s="106"/>
      <c r="E255" s="475"/>
      <c r="F255" s="475"/>
      <c r="G255" s="272"/>
      <c r="H255" s="272"/>
      <c r="I255" s="272"/>
      <c r="J255" s="272"/>
      <c r="K255" s="272"/>
      <c r="L255" s="272"/>
      <c r="M255" s="272"/>
      <c r="N255" s="272"/>
      <c r="O255" s="272"/>
      <c r="P255" s="272"/>
      <c r="Q255" s="272"/>
      <c r="R255" s="272"/>
      <c r="S255" s="272"/>
      <c r="T255" s="272"/>
      <c r="U255" s="272"/>
      <c r="V255" s="272"/>
      <c r="W255" s="272"/>
      <c r="X255" s="272"/>
      <c r="Y255" s="272"/>
      <c r="Z255" s="272"/>
      <c r="AA255" s="272"/>
      <c r="AB255" s="106"/>
      <c r="AC255" s="106"/>
      <c r="AD255" s="106"/>
      <c r="AE255" s="106"/>
      <c r="AF255" s="106"/>
    </row>
    <row r="256" spans="1:32" ht="21" customHeight="1" thickBot="1" x14ac:dyDescent="0.45">
      <c r="A256" s="106"/>
      <c r="B256" s="272"/>
      <c r="C256" s="272"/>
      <c r="D256" s="106"/>
      <c r="E256" s="475"/>
      <c r="F256" s="475"/>
      <c r="G256" s="272"/>
      <c r="H256" s="272"/>
      <c r="I256" s="272"/>
      <c r="J256" s="272"/>
      <c r="K256" s="272"/>
      <c r="L256" s="272"/>
      <c r="M256" s="272"/>
      <c r="N256" s="272"/>
      <c r="O256" s="272"/>
      <c r="P256" s="272"/>
      <c r="Q256" s="272"/>
      <c r="R256" s="272"/>
      <c r="S256" s="272"/>
      <c r="T256" s="272"/>
      <c r="U256" s="272"/>
      <c r="V256" s="272"/>
      <c r="W256" s="272"/>
      <c r="X256" s="272"/>
      <c r="Y256" s="272"/>
      <c r="Z256" s="272"/>
      <c r="AA256" s="272"/>
      <c r="AB256" s="106"/>
      <c r="AC256" s="106"/>
      <c r="AD256" s="106"/>
      <c r="AE256" s="106"/>
      <c r="AF256" s="106"/>
    </row>
    <row r="257" spans="1:32" ht="21" customHeight="1" thickBot="1" x14ac:dyDescent="0.45">
      <c r="A257" s="106"/>
      <c r="B257" s="272"/>
      <c r="C257" s="272"/>
      <c r="D257" s="106"/>
      <c r="E257" s="475"/>
      <c r="F257" s="475"/>
      <c r="G257" s="272"/>
      <c r="H257" s="272"/>
      <c r="I257" s="272"/>
      <c r="J257" s="272"/>
      <c r="K257" s="272"/>
      <c r="L257" s="272"/>
      <c r="M257" s="272"/>
      <c r="N257" s="272"/>
      <c r="O257" s="272"/>
      <c r="P257" s="272"/>
      <c r="Q257" s="272"/>
      <c r="R257" s="272"/>
      <c r="S257" s="272"/>
      <c r="T257" s="272"/>
      <c r="U257" s="272"/>
      <c r="V257" s="272"/>
      <c r="W257" s="272"/>
      <c r="X257" s="272"/>
      <c r="Y257" s="272"/>
      <c r="Z257" s="272"/>
      <c r="AA257" s="272"/>
      <c r="AB257" s="106"/>
      <c r="AC257" s="106"/>
      <c r="AD257" s="106"/>
      <c r="AE257" s="106"/>
      <c r="AF257" s="106"/>
    </row>
    <row r="258" spans="1:32" ht="21" customHeight="1" thickBot="1" x14ac:dyDescent="0.45">
      <c r="A258" s="106"/>
      <c r="B258" s="272"/>
      <c r="C258" s="272"/>
      <c r="D258" s="106"/>
      <c r="E258" s="475"/>
      <c r="F258" s="475"/>
      <c r="G258" s="272"/>
      <c r="H258" s="272"/>
      <c r="I258" s="272"/>
      <c r="J258" s="272"/>
      <c r="K258" s="272"/>
      <c r="L258" s="272"/>
      <c r="M258" s="272"/>
      <c r="N258" s="272"/>
      <c r="O258" s="272"/>
      <c r="P258" s="272"/>
      <c r="Q258" s="272"/>
      <c r="R258" s="272"/>
      <c r="S258" s="272"/>
      <c r="T258" s="272"/>
      <c r="U258" s="272"/>
      <c r="V258" s="272"/>
      <c r="W258" s="272"/>
      <c r="X258" s="272"/>
      <c r="Y258" s="272"/>
      <c r="Z258" s="272"/>
      <c r="AA258" s="272"/>
      <c r="AB258" s="106"/>
      <c r="AC258" s="106"/>
      <c r="AD258" s="106"/>
      <c r="AE258" s="106"/>
      <c r="AF258" s="106"/>
    </row>
    <row r="259" spans="1:32" ht="21" customHeight="1" thickBot="1" x14ac:dyDescent="0.45">
      <c r="A259" s="106"/>
      <c r="B259" s="272"/>
      <c r="C259" s="272"/>
      <c r="D259" s="106"/>
      <c r="E259" s="475"/>
      <c r="F259" s="475"/>
      <c r="G259" s="272"/>
      <c r="H259" s="272"/>
      <c r="I259" s="272"/>
      <c r="J259" s="272"/>
      <c r="K259" s="272"/>
      <c r="L259" s="272"/>
      <c r="M259" s="272"/>
      <c r="N259" s="272"/>
      <c r="O259" s="272"/>
      <c r="P259" s="272"/>
      <c r="Q259" s="272"/>
      <c r="R259" s="272"/>
      <c r="S259" s="272"/>
      <c r="T259" s="272"/>
      <c r="U259" s="272"/>
      <c r="V259" s="272"/>
      <c r="W259" s="272"/>
      <c r="X259" s="272"/>
      <c r="Y259" s="272"/>
      <c r="Z259" s="272"/>
      <c r="AA259" s="272"/>
      <c r="AB259" s="106"/>
      <c r="AC259" s="106"/>
      <c r="AD259" s="106"/>
      <c r="AE259" s="106"/>
      <c r="AF259" s="106"/>
    </row>
    <row r="260" spans="1:32" ht="21" customHeight="1" thickBot="1" x14ac:dyDescent="0.45">
      <c r="A260" s="106"/>
      <c r="B260" s="272"/>
      <c r="C260" s="272"/>
      <c r="D260" s="106"/>
      <c r="E260" s="475"/>
      <c r="F260" s="475"/>
      <c r="G260" s="272"/>
      <c r="H260" s="272"/>
      <c r="I260" s="272"/>
      <c r="J260" s="272"/>
      <c r="K260" s="272"/>
      <c r="L260" s="272"/>
      <c r="M260" s="272"/>
      <c r="N260" s="272"/>
      <c r="O260" s="272"/>
      <c r="P260" s="272"/>
      <c r="Q260" s="272"/>
      <c r="R260" s="272"/>
      <c r="S260" s="272"/>
      <c r="T260" s="272"/>
      <c r="U260" s="272"/>
      <c r="V260" s="272"/>
      <c r="W260" s="272"/>
      <c r="X260" s="272"/>
      <c r="Y260" s="272"/>
      <c r="Z260" s="272"/>
      <c r="AA260" s="272"/>
      <c r="AB260" s="106"/>
      <c r="AC260" s="106"/>
      <c r="AD260" s="106"/>
      <c r="AE260" s="106"/>
      <c r="AF260" s="106"/>
    </row>
    <row r="261" spans="1:32" ht="21" customHeight="1" thickBot="1" x14ac:dyDescent="0.45">
      <c r="A261" s="106"/>
      <c r="B261" s="272"/>
      <c r="C261" s="272"/>
      <c r="D261" s="106"/>
      <c r="E261" s="475"/>
      <c r="F261" s="475"/>
      <c r="G261" s="272"/>
      <c r="H261" s="272"/>
      <c r="I261" s="272"/>
      <c r="J261" s="272"/>
      <c r="K261" s="272"/>
      <c r="L261" s="272"/>
      <c r="M261" s="272"/>
      <c r="N261" s="272"/>
      <c r="O261" s="272"/>
      <c r="P261" s="272"/>
      <c r="Q261" s="272"/>
      <c r="R261" s="272"/>
      <c r="S261" s="272"/>
      <c r="T261" s="272"/>
      <c r="U261" s="272"/>
      <c r="V261" s="272"/>
      <c r="W261" s="272"/>
      <c r="X261" s="272"/>
      <c r="Y261" s="272"/>
      <c r="Z261" s="272"/>
      <c r="AA261" s="272"/>
      <c r="AB261" s="106"/>
      <c r="AC261" s="106"/>
      <c r="AD261" s="106"/>
      <c r="AE261" s="106"/>
      <c r="AF261" s="106"/>
    </row>
    <row r="262" spans="1:32" ht="21" customHeight="1" thickBot="1" x14ac:dyDescent="0.45">
      <c r="A262" s="106"/>
      <c r="B262" s="272"/>
      <c r="C262" s="272"/>
      <c r="D262" s="106"/>
      <c r="E262" s="475"/>
      <c r="F262" s="475"/>
      <c r="G262" s="272"/>
      <c r="H262" s="272"/>
      <c r="I262" s="272"/>
      <c r="J262" s="272"/>
      <c r="K262" s="272"/>
      <c r="L262" s="272"/>
      <c r="M262" s="272"/>
      <c r="N262" s="272"/>
      <c r="O262" s="272"/>
      <c r="P262" s="272"/>
      <c r="Q262" s="272"/>
      <c r="R262" s="272"/>
      <c r="S262" s="272"/>
      <c r="T262" s="272"/>
      <c r="U262" s="272"/>
      <c r="V262" s="272"/>
      <c r="W262" s="272"/>
      <c r="X262" s="272"/>
      <c r="Y262" s="272"/>
      <c r="Z262" s="272"/>
      <c r="AA262" s="272"/>
      <c r="AB262" s="106"/>
      <c r="AC262" s="106"/>
      <c r="AD262" s="106"/>
      <c r="AE262" s="106"/>
      <c r="AF262" s="106"/>
    </row>
    <row r="263" spans="1:32" ht="21" customHeight="1" thickBot="1" x14ac:dyDescent="0.45">
      <c r="A263" s="106"/>
      <c r="B263" s="272"/>
      <c r="C263" s="272"/>
      <c r="D263" s="106"/>
      <c r="E263" s="475"/>
      <c r="F263" s="475"/>
      <c r="G263" s="272"/>
      <c r="H263" s="272"/>
      <c r="I263" s="272"/>
      <c r="J263" s="272"/>
      <c r="K263" s="272"/>
      <c r="L263" s="272"/>
      <c r="M263" s="272"/>
      <c r="N263" s="272"/>
      <c r="O263" s="272"/>
      <c r="P263" s="272"/>
      <c r="Q263" s="272"/>
      <c r="R263" s="272"/>
      <c r="S263" s="272"/>
      <c r="T263" s="272"/>
      <c r="U263" s="272"/>
      <c r="V263" s="272"/>
      <c r="W263" s="272"/>
      <c r="X263" s="272"/>
      <c r="Y263" s="272"/>
      <c r="Z263" s="272"/>
      <c r="AA263" s="272"/>
      <c r="AB263" s="106"/>
      <c r="AC263" s="106"/>
      <c r="AD263" s="106"/>
      <c r="AE263" s="106"/>
      <c r="AF263" s="106"/>
    </row>
    <row r="264" spans="1:32" ht="21" customHeight="1" thickBot="1" x14ac:dyDescent="0.45">
      <c r="A264" s="106"/>
      <c r="B264" s="272"/>
      <c r="C264" s="272"/>
      <c r="D264" s="106"/>
      <c r="E264" s="475"/>
      <c r="F264" s="475"/>
      <c r="G264" s="272"/>
      <c r="H264" s="272"/>
      <c r="I264" s="272"/>
      <c r="J264" s="272"/>
      <c r="K264" s="272"/>
      <c r="L264" s="272"/>
      <c r="M264" s="272"/>
      <c r="N264" s="272"/>
      <c r="O264" s="272"/>
      <c r="P264" s="272"/>
      <c r="Q264" s="272"/>
      <c r="R264" s="272"/>
      <c r="S264" s="272"/>
      <c r="T264" s="272"/>
      <c r="U264" s="272"/>
      <c r="V264" s="272"/>
      <c r="W264" s="272"/>
      <c r="X264" s="272"/>
      <c r="Y264" s="272"/>
      <c r="Z264" s="272"/>
      <c r="AA264" s="272"/>
      <c r="AB264" s="106"/>
      <c r="AC264" s="106"/>
      <c r="AD264" s="106"/>
      <c r="AE264" s="106"/>
      <c r="AF264" s="106"/>
    </row>
    <row r="265" spans="1:32" ht="21" customHeight="1" thickBot="1" x14ac:dyDescent="0.45">
      <c r="A265" s="106"/>
      <c r="B265" s="272"/>
      <c r="C265" s="272"/>
      <c r="D265" s="106"/>
      <c r="E265" s="475"/>
      <c r="F265" s="475"/>
      <c r="G265" s="272"/>
      <c r="H265" s="272"/>
      <c r="I265" s="272"/>
      <c r="J265" s="272"/>
      <c r="K265" s="272"/>
      <c r="L265" s="272"/>
      <c r="M265" s="272"/>
      <c r="N265" s="272"/>
      <c r="O265" s="272"/>
      <c r="P265" s="272"/>
      <c r="Q265" s="272"/>
      <c r="R265" s="272"/>
      <c r="S265" s="272"/>
      <c r="T265" s="272"/>
      <c r="U265" s="272"/>
      <c r="V265" s="272"/>
      <c r="W265" s="272"/>
      <c r="X265" s="272"/>
      <c r="Y265" s="272"/>
      <c r="Z265" s="272"/>
      <c r="AA265" s="272"/>
      <c r="AB265" s="106"/>
      <c r="AC265" s="106"/>
      <c r="AD265" s="106"/>
      <c r="AE265" s="106"/>
      <c r="AF265" s="106"/>
    </row>
    <row r="266" spans="1:32" ht="21" customHeight="1" thickBot="1" x14ac:dyDescent="0.45">
      <c r="A266" s="106"/>
      <c r="B266" s="272"/>
      <c r="C266" s="272"/>
      <c r="D266" s="106"/>
      <c r="E266" s="475"/>
      <c r="F266" s="475"/>
      <c r="G266" s="272"/>
      <c r="H266" s="272"/>
      <c r="I266" s="272"/>
      <c r="J266" s="272"/>
      <c r="K266" s="272"/>
      <c r="L266" s="272"/>
      <c r="M266" s="272"/>
      <c r="N266" s="272"/>
      <c r="O266" s="272"/>
      <c r="P266" s="272"/>
      <c r="Q266" s="272"/>
      <c r="R266" s="272"/>
      <c r="S266" s="272"/>
      <c r="T266" s="272"/>
      <c r="U266" s="272"/>
      <c r="V266" s="272"/>
      <c r="W266" s="272"/>
      <c r="X266" s="272"/>
      <c r="Y266" s="272"/>
      <c r="Z266" s="272"/>
      <c r="AA266" s="272"/>
      <c r="AB266" s="106"/>
      <c r="AC266" s="106"/>
      <c r="AD266" s="106"/>
      <c r="AE266" s="106"/>
      <c r="AF266" s="106"/>
    </row>
    <row r="267" spans="1:32" ht="21" customHeight="1" thickBot="1" x14ac:dyDescent="0.45">
      <c r="A267" s="106"/>
      <c r="B267" s="272"/>
      <c r="C267" s="272"/>
      <c r="D267" s="106"/>
      <c r="E267" s="475"/>
      <c r="F267" s="475"/>
      <c r="G267" s="272"/>
      <c r="H267" s="272"/>
      <c r="I267" s="272"/>
      <c r="J267" s="272"/>
      <c r="K267" s="272"/>
      <c r="L267" s="272"/>
      <c r="M267" s="272"/>
      <c r="N267" s="272"/>
      <c r="O267" s="272"/>
      <c r="P267" s="272"/>
      <c r="Q267" s="272"/>
      <c r="R267" s="272"/>
      <c r="S267" s="272"/>
      <c r="T267" s="272"/>
      <c r="U267" s="272"/>
      <c r="V267" s="272"/>
      <c r="W267" s="272"/>
      <c r="X267" s="272"/>
      <c r="Y267" s="272"/>
      <c r="Z267" s="272"/>
      <c r="AA267" s="272"/>
      <c r="AB267" s="106"/>
      <c r="AC267" s="106"/>
      <c r="AD267" s="106"/>
      <c r="AE267" s="106"/>
      <c r="AF267" s="106"/>
    </row>
    <row r="268" spans="1:32" ht="21" customHeight="1" thickBot="1" x14ac:dyDescent="0.45">
      <c r="A268" s="106"/>
      <c r="B268" s="272"/>
      <c r="C268" s="272"/>
      <c r="D268" s="106"/>
      <c r="E268" s="475"/>
      <c r="F268" s="475"/>
      <c r="G268" s="272"/>
      <c r="H268" s="272"/>
      <c r="I268" s="272"/>
      <c r="J268" s="272"/>
      <c r="K268" s="272"/>
      <c r="L268" s="272"/>
      <c r="M268" s="272"/>
      <c r="N268" s="272"/>
      <c r="O268" s="272"/>
      <c r="P268" s="272"/>
      <c r="Q268" s="272"/>
      <c r="R268" s="272"/>
      <c r="S268" s="272"/>
      <c r="T268" s="272"/>
      <c r="U268" s="272"/>
      <c r="V268" s="272"/>
      <c r="W268" s="272"/>
      <c r="X268" s="272"/>
      <c r="Y268" s="272"/>
      <c r="Z268" s="272"/>
      <c r="AA268" s="272"/>
      <c r="AB268" s="106"/>
      <c r="AC268" s="106"/>
      <c r="AD268" s="106"/>
      <c r="AE268" s="106"/>
      <c r="AF268" s="106"/>
    </row>
    <row r="269" spans="1:32" ht="21" customHeight="1" thickBot="1" x14ac:dyDescent="0.45">
      <c r="A269" s="106"/>
      <c r="B269" s="272"/>
      <c r="C269" s="272"/>
      <c r="D269" s="106"/>
      <c r="E269" s="475"/>
      <c r="F269" s="475"/>
      <c r="G269" s="272"/>
      <c r="H269" s="272"/>
      <c r="I269" s="272"/>
      <c r="J269" s="272"/>
      <c r="K269" s="272"/>
      <c r="L269" s="272"/>
      <c r="M269" s="272"/>
      <c r="N269" s="272"/>
      <c r="O269" s="272"/>
      <c r="P269" s="272"/>
      <c r="Q269" s="272"/>
      <c r="R269" s="272"/>
      <c r="S269" s="272"/>
      <c r="T269" s="272"/>
      <c r="U269" s="272"/>
      <c r="V269" s="272"/>
      <c r="W269" s="272"/>
      <c r="X269" s="272"/>
      <c r="Y269" s="272"/>
      <c r="Z269" s="272"/>
      <c r="AA269" s="272"/>
      <c r="AB269" s="106"/>
      <c r="AC269" s="106"/>
      <c r="AD269" s="106"/>
      <c r="AE269" s="106"/>
      <c r="AF269" s="106"/>
    </row>
    <row r="270" spans="1:32" ht="21" customHeight="1" thickBot="1" x14ac:dyDescent="0.45">
      <c r="A270" s="106"/>
      <c r="B270" s="272"/>
      <c r="C270" s="272"/>
      <c r="D270" s="106"/>
      <c r="E270" s="475"/>
      <c r="F270" s="475"/>
      <c r="G270" s="272"/>
      <c r="H270" s="272"/>
      <c r="I270" s="272"/>
      <c r="J270" s="272"/>
      <c r="K270" s="272"/>
      <c r="L270" s="272"/>
      <c r="M270" s="272"/>
      <c r="N270" s="272"/>
      <c r="O270" s="272"/>
      <c r="P270" s="272"/>
      <c r="Q270" s="272"/>
      <c r="R270" s="272"/>
      <c r="S270" s="272"/>
      <c r="T270" s="272"/>
      <c r="U270" s="272"/>
      <c r="V270" s="272"/>
      <c r="W270" s="272"/>
      <c r="X270" s="272"/>
      <c r="Y270" s="272"/>
      <c r="Z270" s="272"/>
      <c r="AA270" s="272"/>
      <c r="AB270" s="106"/>
      <c r="AC270" s="106"/>
      <c r="AD270" s="106"/>
      <c r="AE270" s="106"/>
      <c r="AF270" s="106"/>
    </row>
    <row r="271" spans="1:32" ht="21" customHeight="1" thickBot="1" x14ac:dyDescent="0.45">
      <c r="A271" s="106"/>
      <c r="B271" s="272"/>
      <c r="C271" s="272"/>
      <c r="D271" s="106"/>
      <c r="E271" s="475"/>
      <c r="F271" s="475"/>
      <c r="G271" s="272"/>
      <c r="H271" s="272"/>
      <c r="I271" s="272"/>
      <c r="J271" s="272"/>
      <c r="K271" s="272"/>
      <c r="L271" s="272"/>
      <c r="M271" s="272"/>
      <c r="N271" s="272"/>
      <c r="O271" s="272"/>
      <c r="P271" s="272"/>
      <c r="Q271" s="272"/>
      <c r="R271" s="272"/>
      <c r="S271" s="272"/>
      <c r="T271" s="272"/>
      <c r="U271" s="272"/>
      <c r="V271" s="272"/>
      <c r="W271" s="272"/>
      <c r="X271" s="272"/>
      <c r="Y271" s="272"/>
      <c r="Z271" s="272"/>
      <c r="AA271" s="272"/>
      <c r="AB271" s="106"/>
      <c r="AC271" s="106"/>
      <c r="AD271" s="106"/>
      <c r="AE271" s="106"/>
      <c r="AF271" s="106"/>
    </row>
    <row r="272" spans="1:32" ht="21" customHeight="1" thickBot="1" x14ac:dyDescent="0.45">
      <c r="A272" s="106"/>
      <c r="B272" s="272"/>
      <c r="C272" s="272"/>
      <c r="D272" s="106"/>
      <c r="E272" s="475"/>
      <c r="F272" s="475"/>
      <c r="G272" s="272"/>
      <c r="H272" s="272"/>
      <c r="I272" s="272"/>
      <c r="J272" s="272"/>
      <c r="K272" s="272"/>
      <c r="L272" s="272"/>
      <c r="M272" s="272"/>
      <c r="N272" s="272"/>
      <c r="O272" s="272"/>
      <c r="P272" s="272"/>
      <c r="Q272" s="272"/>
      <c r="R272" s="272"/>
      <c r="S272" s="272"/>
      <c r="T272" s="272"/>
      <c r="U272" s="272"/>
      <c r="V272" s="272"/>
      <c r="W272" s="272"/>
      <c r="X272" s="272"/>
      <c r="Y272" s="276"/>
      <c r="Z272" s="276"/>
      <c r="AA272" s="606"/>
      <c r="AB272" s="181"/>
      <c r="AC272" s="117"/>
      <c r="AD272" s="106"/>
      <c r="AE272" s="106"/>
      <c r="AF272" s="106"/>
    </row>
    <row r="273" spans="1:32" ht="21" customHeight="1" thickBot="1" x14ac:dyDescent="0.45">
      <c r="A273" s="106"/>
      <c r="B273" s="272"/>
      <c r="C273" s="272"/>
      <c r="D273" s="106"/>
      <c r="E273" s="475"/>
      <c r="F273" s="475"/>
      <c r="G273" s="272"/>
      <c r="H273" s="272"/>
      <c r="I273" s="272"/>
      <c r="J273" s="272"/>
      <c r="K273" s="272"/>
      <c r="L273" s="272"/>
      <c r="M273" s="272"/>
      <c r="N273" s="272"/>
      <c r="O273" s="272"/>
      <c r="P273" s="272"/>
      <c r="Q273" s="272"/>
      <c r="R273" s="272"/>
      <c r="S273" s="272"/>
      <c r="T273" s="272"/>
      <c r="U273" s="272"/>
      <c r="V273" s="272"/>
      <c r="W273" s="272"/>
      <c r="X273" s="272"/>
      <c r="Y273" s="276"/>
      <c r="Z273" s="276"/>
      <c r="AA273" s="606"/>
      <c r="AB273" s="181"/>
      <c r="AC273" s="117"/>
      <c r="AD273" s="106"/>
      <c r="AE273" s="106"/>
      <c r="AF273" s="106"/>
    </row>
    <row r="274" spans="1:32" ht="21" customHeight="1" thickBot="1" x14ac:dyDescent="0.45">
      <c r="A274" s="106"/>
      <c r="B274" s="272"/>
      <c r="C274" s="272"/>
      <c r="D274" s="106"/>
      <c r="E274" s="475"/>
      <c r="F274" s="475"/>
      <c r="G274" s="272"/>
      <c r="H274" s="272"/>
      <c r="I274" s="272"/>
      <c r="J274" s="272"/>
      <c r="K274" s="272"/>
      <c r="L274" s="272"/>
      <c r="M274" s="272"/>
      <c r="N274" s="272"/>
      <c r="O274" s="272"/>
      <c r="P274" s="272"/>
      <c r="Q274" s="272"/>
      <c r="R274" s="272"/>
      <c r="S274" s="272"/>
      <c r="T274" s="272"/>
      <c r="U274" s="272"/>
      <c r="V274" s="272"/>
      <c r="W274" s="272"/>
      <c r="X274" s="272"/>
      <c r="Y274" s="276"/>
      <c r="Z274" s="276"/>
      <c r="AA274" s="606"/>
      <c r="AB274" s="181"/>
      <c r="AC274" s="117"/>
      <c r="AD274" s="106"/>
      <c r="AE274" s="106"/>
      <c r="AF274" s="106"/>
    </row>
    <row r="275" spans="1:32" ht="21" customHeight="1" thickBot="1" x14ac:dyDescent="0.45">
      <c r="A275" s="106"/>
      <c r="B275" s="272"/>
      <c r="C275" s="272"/>
      <c r="D275" s="106"/>
      <c r="E275" s="475"/>
      <c r="F275" s="475"/>
      <c r="G275" s="272"/>
      <c r="H275" s="272"/>
      <c r="I275" s="272"/>
      <c r="J275" s="272"/>
      <c r="K275" s="272"/>
      <c r="L275" s="272"/>
      <c r="M275" s="272"/>
      <c r="N275" s="272"/>
      <c r="O275" s="272"/>
      <c r="P275" s="272"/>
      <c r="Q275" s="272"/>
      <c r="R275" s="272"/>
      <c r="S275" s="272"/>
      <c r="T275" s="272"/>
      <c r="U275" s="272"/>
      <c r="V275" s="272"/>
      <c r="W275" s="272"/>
      <c r="X275" s="272"/>
      <c r="Y275" s="276"/>
      <c r="Z275" s="276"/>
      <c r="AA275" s="606"/>
      <c r="AB275" s="181"/>
      <c r="AC275" s="117"/>
      <c r="AD275" s="106"/>
      <c r="AE275" s="106"/>
      <c r="AF275" s="106"/>
    </row>
    <row r="276" spans="1:32" ht="21" customHeight="1" thickBot="1" x14ac:dyDescent="0.45">
      <c r="A276" s="106"/>
      <c r="B276" s="272"/>
      <c r="C276" s="272"/>
      <c r="D276" s="106"/>
      <c r="E276" s="475"/>
      <c r="F276" s="475"/>
      <c r="G276" s="272"/>
      <c r="H276" s="272"/>
      <c r="I276" s="272"/>
      <c r="J276" s="272"/>
      <c r="K276" s="272"/>
      <c r="L276" s="272"/>
      <c r="M276" s="272"/>
      <c r="N276" s="272"/>
      <c r="O276" s="272"/>
      <c r="P276" s="272"/>
      <c r="Q276" s="272"/>
      <c r="R276" s="272"/>
      <c r="S276" s="272"/>
      <c r="T276" s="272"/>
      <c r="U276" s="272"/>
      <c r="V276" s="272"/>
      <c r="W276" s="272"/>
      <c r="X276" s="272"/>
      <c r="Y276" s="276"/>
      <c r="Z276" s="276"/>
      <c r="AA276" s="606"/>
      <c r="AB276" s="181"/>
      <c r="AC276" s="117"/>
      <c r="AD276" s="106"/>
      <c r="AE276" s="106"/>
      <c r="AF276" s="106"/>
    </row>
    <row r="277" spans="1:32" ht="21" customHeight="1" thickBot="1" x14ac:dyDescent="0.45">
      <c r="A277" s="106"/>
      <c r="B277" s="272"/>
      <c r="C277" s="272"/>
      <c r="D277" s="106"/>
      <c r="E277" s="475"/>
      <c r="F277" s="475"/>
      <c r="G277" s="272"/>
      <c r="H277" s="272"/>
      <c r="I277" s="272"/>
      <c r="J277" s="272"/>
      <c r="K277" s="272"/>
      <c r="L277" s="272"/>
      <c r="M277" s="272"/>
      <c r="N277" s="272"/>
      <c r="O277" s="272"/>
      <c r="P277" s="272"/>
      <c r="Q277" s="272"/>
      <c r="R277" s="272"/>
      <c r="S277" s="272"/>
      <c r="T277" s="272"/>
      <c r="U277" s="272"/>
      <c r="V277" s="272"/>
      <c r="W277" s="272"/>
      <c r="X277" s="272"/>
      <c r="Y277" s="276"/>
      <c r="Z277" s="276"/>
      <c r="AA277" s="606"/>
      <c r="AB277" s="181"/>
      <c r="AC277" s="117"/>
      <c r="AD277" s="106"/>
      <c r="AE277" s="106"/>
      <c r="AF277" s="106"/>
    </row>
    <row r="278" spans="1:32" ht="21" customHeight="1" thickBot="1" x14ac:dyDescent="0.45">
      <c r="A278" s="106"/>
      <c r="B278" s="272"/>
      <c r="C278" s="272"/>
      <c r="D278" s="106"/>
      <c r="E278" s="475"/>
      <c r="F278" s="475"/>
      <c r="G278" s="272"/>
      <c r="H278" s="272"/>
      <c r="I278" s="272"/>
      <c r="J278" s="272"/>
      <c r="K278" s="272"/>
      <c r="L278" s="272"/>
      <c r="M278" s="272"/>
      <c r="N278" s="272"/>
      <c r="O278" s="272"/>
      <c r="P278" s="272"/>
      <c r="Q278" s="272"/>
      <c r="R278" s="272"/>
      <c r="S278" s="272"/>
      <c r="T278" s="272"/>
      <c r="U278" s="272"/>
      <c r="V278" s="272"/>
      <c r="W278" s="272"/>
      <c r="X278" s="272"/>
      <c r="Y278" s="276"/>
      <c r="Z278" s="276"/>
      <c r="AA278" s="606"/>
      <c r="AB278" s="181"/>
      <c r="AC278" s="117"/>
      <c r="AD278" s="106"/>
      <c r="AE278" s="106"/>
      <c r="AF278" s="106"/>
    </row>
    <row r="279" spans="1:32" ht="21" customHeight="1" thickBot="1" x14ac:dyDescent="0.45">
      <c r="A279" s="106"/>
      <c r="B279" s="272"/>
      <c r="C279" s="272"/>
      <c r="D279" s="106"/>
      <c r="E279" s="475"/>
      <c r="F279" s="475"/>
      <c r="G279" s="272"/>
      <c r="H279" s="272"/>
      <c r="I279" s="272"/>
      <c r="J279" s="272"/>
      <c r="K279" s="272"/>
      <c r="L279" s="272"/>
      <c r="M279" s="272"/>
      <c r="N279" s="272"/>
      <c r="O279" s="272"/>
      <c r="P279" s="272"/>
      <c r="Q279" s="272"/>
      <c r="R279" s="272"/>
      <c r="S279" s="272"/>
      <c r="T279" s="272"/>
      <c r="U279" s="272"/>
      <c r="V279" s="272"/>
      <c r="W279" s="272"/>
      <c r="X279" s="272"/>
      <c r="Y279" s="276"/>
      <c r="Z279" s="276"/>
      <c r="AA279" s="606"/>
      <c r="AB279" s="181"/>
      <c r="AC279" s="117"/>
      <c r="AD279" s="106"/>
      <c r="AE279" s="106"/>
      <c r="AF279" s="106"/>
    </row>
    <row r="280" spans="1:32" ht="21" customHeight="1" thickBot="1" x14ac:dyDescent="0.45">
      <c r="A280" s="106"/>
      <c r="B280" s="272"/>
      <c r="C280" s="272"/>
      <c r="D280" s="106"/>
      <c r="E280" s="475"/>
      <c r="F280" s="475"/>
      <c r="G280" s="272"/>
      <c r="H280" s="272"/>
      <c r="I280" s="272"/>
      <c r="J280" s="272"/>
      <c r="K280" s="272"/>
      <c r="L280" s="272"/>
      <c r="M280" s="272"/>
      <c r="N280" s="272"/>
      <c r="O280" s="272"/>
      <c r="P280" s="272"/>
      <c r="Q280" s="272"/>
      <c r="R280" s="272"/>
      <c r="S280" s="272"/>
      <c r="T280" s="272"/>
      <c r="U280" s="272"/>
      <c r="V280" s="272"/>
      <c r="W280" s="272"/>
      <c r="X280" s="272"/>
      <c r="Y280" s="276"/>
      <c r="Z280" s="276"/>
      <c r="AA280" s="606"/>
      <c r="AB280" s="181"/>
      <c r="AC280" s="117"/>
      <c r="AD280" s="106"/>
      <c r="AE280" s="106"/>
      <c r="AF280" s="106"/>
    </row>
    <row r="281" spans="1:32" ht="21" customHeight="1" thickBot="1" x14ac:dyDescent="0.45">
      <c r="A281" s="106"/>
      <c r="B281" s="272"/>
      <c r="C281" s="272"/>
      <c r="D281" s="106"/>
      <c r="E281" s="475"/>
      <c r="F281" s="475"/>
      <c r="G281" s="272"/>
      <c r="H281" s="272"/>
      <c r="I281" s="272"/>
      <c r="J281" s="272"/>
      <c r="K281" s="272"/>
      <c r="L281" s="272"/>
      <c r="M281" s="272"/>
      <c r="N281" s="272"/>
      <c r="O281" s="272"/>
      <c r="P281" s="272"/>
      <c r="Q281" s="272"/>
      <c r="R281" s="272"/>
      <c r="S281" s="272"/>
      <c r="T281" s="272"/>
      <c r="U281" s="272"/>
      <c r="V281" s="272"/>
      <c r="W281" s="272"/>
      <c r="X281" s="272"/>
      <c r="Y281" s="276"/>
      <c r="Z281" s="276"/>
      <c r="AA281" s="606"/>
      <c r="AB281" s="181"/>
      <c r="AC281" s="117"/>
      <c r="AD281" s="106"/>
      <c r="AE281" s="106"/>
      <c r="AF281" s="106"/>
    </row>
    <row r="282" spans="1:32" ht="21" customHeight="1" thickBot="1" x14ac:dyDescent="0.45">
      <c r="A282" s="106"/>
      <c r="B282" s="272"/>
      <c r="C282" s="272"/>
      <c r="D282" s="106"/>
      <c r="E282" s="475"/>
      <c r="F282" s="475"/>
      <c r="G282" s="272"/>
      <c r="H282" s="272"/>
      <c r="I282" s="272"/>
      <c r="J282" s="272"/>
      <c r="K282" s="272"/>
      <c r="L282" s="272"/>
      <c r="M282" s="272"/>
      <c r="N282" s="272"/>
      <c r="O282" s="272"/>
      <c r="P282" s="272"/>
      <c r="Q282" s="272"/>
      <c r="R282" s="272"/>
      <c r="S282" s="272"/>
      <c r="T282" s="272"/>
      <c r="U282" s="272"/>
      <c r="V282" s="272"/>
      <c r="W282" s="272"/>
      <c r="X282" s="272"/>
      <c r="Y282" s="276"/>
      <c r="Z282" s="276"/>
      <c r="AA282" s="606"/>
      <c r="AB282" s="181"/>
      <c r="AC282" s="117"/>
      <c r="AD282" s="106"/>
      <c r="AE282" s="106"/>
      <c r="AF282" s="106"/>
    </row>
    <row r="283" spans="1:32" ht="21" customHeight="1" thickBot="1" x14ac:dyDescent="0.45">
      <c r="A283" s="106"/>
      <c r="B283" s="272"/>
      <c r="C283" s="272"/>
      <c r="D283" s="106"/>
      <c r="E283" s="475"/>
      <c r="F283" s="475"/>
      <c r="G283" s="272"/>
      <c r="H283" s="272"/>
      <c r="I283" s="272"/>
      <c r="J283" s="272"/>
      <c r="K283" s="272"/>
      <c r="L283" s="272"/>
      <c r="M283" s="272"/>
      <c r="N283" s="272"/>
      <c r="O283" s="272"/>
      <c r="P283" s="272"/>
      <c r="Q283" s="272"/>
      <c r="R283" s="272"/>
      <c r="S283" s="272"/>
      <c r="T283" s="272"/>
      <c r="U283" s="272"/>
      <c r="V283" s="272"/>
      <c r="W283" s="272"/>
      <c r="X283" s="272"/>
      <c r="Y283" s="276"/>
      <c r="Z283" s="276"/>
      <c r="AA283" s="606"/>
      <c r="AB283" s="181"/>
      <c r="AC283" s="117"/>
      <c r="AD283" s="106"/>
      <c r="AE283" s="106"/>
      <c r="AF283" s="106"/>
    </row>
    <row r="284" spans="1:32" ht="21" customHeight="1" thickBot="1" x14ac:dyDescent="0.45">
      <c r="A284" s="106"/>
      <c r="B284" s="272"/>
      <c r="C284" s="272"/>
      <c r="D284" s="106"/>
      <c r="E284" s="475"/>
      <c r="F284" s="475"/>
      <c r="G284" s="272"/>
      <c r="H284" s="272"/>
      <c r="I284" s="272"/>
      <c r="J284" s="272"/>
      <c r="K284" s="272"/>
      <c r="L284" s="272"/>
      <c r="M284" s="272"/>
      <c r="N284" s="272"/>
      <c r="O284" s="272"/>
      <c r="P284" s="272"/>
      <c r="Q284" s="272"/>
      <c r="R284" s="272"/>
      <c r="S284" s="272"/>
      <c r="T284" s="272"/>
      <c r="U284" s="272"/>
      <c r="V284" s="272"/>
      <c r="W284" s="272"/>
      <c r="X284" s="272"/>
      <c r="Y284" s="276"/>
      <c r="Z284" s="276"/>
      <c r="AA284" s="606"/>
      <c r="AB284" s="181"/>
      <c r="AC284" s="117"/>
      <c r="AD284" s="106"/>
      <c r="AE284" s="106"/>
      <c r="AF284" s="106"/>
    </row>
    <row r="285" spans="1:32" ht="21" customHeight="1" thickBot="1" x14ac:dyDescent="0.45">
      <c r="A285" s="106"/>
      <c r="B285" s="272"/>
      <c r="C285" s="272"/>
      <c r="D285" s="106"/>
      <c r="E285" s="475"/>
      <c r="F285" s="475"/>
      <c r="G285" s="272"/>
      <c r="H285" s="272"/>
      <c r="I285" s="272"/>
      <c r="J285" s="272"/>
      <c r="K285" s="272"/>
      <c r="L285" s="272"/>
      <c r="M285" s="272"/>
      <c r="N285" s="272"/>
      <c r="O285" s="272"/>
      <c r="P285" s="272"/>
      <c r="Q285" s="272"/>
      <c r="R285" s="272"/>
      <c r="S285" s="272"/>
      <c r="T285" s="272"/>
      <c r="U285" s="272"/>
      <c r="V285" s="272"/>
      <c r="W285" s="272"/>
      <c r="X285" s="272"/>
      <c r="Y285" s="276"/>
      <c r="Z285" s="276"/>
      <c r="AA285" s="606"/>
      <c r="AB285" s="181"/>
      <c r="AC285" s="117"/>
      <c r="AD285" s="106"/>
      <c r="AE285" s="106"/>
      <c r="AF285" s="106"/>
    </row>
    <row r="286" spans="1:32" ht="21" customHeight="1" thickBot="1" x14ac:dyDescent="0.45">
      <c r="A286" s="106"/>
      <c r="B286" s="272"/>
      <c r="C286" s="272"/>
      <c r="D286" s="106"/>
      <c r="E286" s="475"/>
      <c r="F286" s="475"/>
      <c r="G286" s="272"/>
      <c r="H286" s="272"/>
      <c r="I286" s="272"/>
      <c r="J286" s="272"/>
      <c r="K286" s="272"/>
      <c r="L286" s="272"/>
      <c r="M286" s="272"/>
      <c r="N286" s="272"/>
      <c r="O286" s="272"/>
      <c r="P286" s="272"/>
      <c r="Q286" s="272"/>
      <c r="R286" s="272"/>
      <c r="S286" s="272"/>
      <c r="T286" s="272"/>
      <c r="U286" s="272"/>
      <c r="V286" s="272"/>
      <c r="W286" s="272"/>
      <c r="X286" s="272"/>
      <c r="Y286" s="276"/>
      <c r="Z286" s="276"/>
      <c r="AA286" s="606"/>
      <c r="AB286" s="181"/>
      <c r="AC286" s="117"/>
      <c r="AD286" s="106"/>
      <c r="AE286" s="106"/>
      <c r="AF286" s="106"/>
    </row>
    <row r="287" spans="1:32" ht="21" customHeight="1" thickBot="1" x14ac:dyDescent="0.45">
      <c r="A287" s="106"/>
      <c r="B287" s="272"/>
      <c r="C287" s="272"/>
      <c r="D287" s="106"/>
      <c r="E287" s="475"/>
      <c r="F287" s="475"/>
      <c r="G287" s="272"/>
      <c r="H287" s="272"/>
      <c r="I287" s="272"/>
      <c r="J287" s="272"/>
      <c r="K287" s="272"/>
      <c r="L287" s="272"/>
      <c r="M287" s="272"/>
      <c r="N287" s="272"/>
      <c r="O287" s="272"/>
      <c r="P287" s="272"/>
      <c r="Q287" s="272"/>
      <c r="R287" s="272"/>
      <c r="S287" s="272"/>
      <c r="T287" s="272"/>
      <c r="U287" s="272"/>
      <c r="V287" s="272"/>
      <c r="W287" s="272"/>
      <c r="X287" s="272"/>
      <c r="Y287" s="276"/>
      <c r="Z287" s="276"/>
      <c r="AA287" s="606"/>
      <c r="AB287" s="181"/>
      <c r="AC287" s="117"/>
      <c r="AD287" s="106"/>
      <c r="AE287" s="106"/>
      <c r="AF287" s="106"/>
    </row>
    <row r="288" spans="1:32" ht="21" customHeight="1" thickBot="1" x14ac:dyDescent="0.45">
      <c r="A288" s="106"/>
      <c r="B288" s="272"/>
      <c r="C288" s="272"/>
      <c r="D288" s="106"/>
      <c r="E288" s="475"/>
      <c r="F288" s="475"/>
      <c r="G288" s="272"/>
      <c r="H288" s="272"/>
      <c r="I288" s="272"/>
      <c r="J288" s="272"/>
      <c r="K288" s="272"/>
      <c r="L288" s="272"/>
      <c r="M288" s="272"/>
      <c r="N288" s="272"/>
      <c r="O288" s="272"/>
      <c r="P288" s="272"/>
      <c r="Q288" s="272"/>
      <c r="R288" s="272"/>
      <c r="S288" s="272"/>
      <c r="T288" s="272"/>
      <c r="U288" s="272"/>
      <c r="V288" s="272"/>
      <c r="W288" s="272"/>
      <c r="X288" s="272"/>
      <c r="Y288" s="276"/>
      <c r="Z288" s="276"/>
      <c r="AA288" s="606"/>
      <c r="AB288" s="181"/>
      <c r="AC288" s="117"/>
      <c r="AD288" s="106"/>
      <c r="AE288" s="106"/>
      <c r="AF288" s="106"/>
    </row>
    <row r="289" spans="1:32" ht="21" customHeight="1" thickBot="1" x14ac:dyDescent="0.45">
      <c r="A289" s="106"/>
      <c r="B289" s="272"/>
      <c r="C289" s="272"/>
      <c r="D289" s="106"/>
      <c r="E289" s="475"/>
      <c r="F289" s="475"/>
      <c r="G289" s="272"/>
      <c r="H289" s="272"/>
      <c r="I289" s="272"/>
      <c r="J289" s="272"/>
      <c r="K289" s="272"/>
      <c r="L289" s="272"/>
      <c r="M289" s="272"/>
      <c r="N289" s="272"/>
      <c r="O289" s="272"/>
      <c r="P289" s="272"/>
      <c r="Q289" s="272"/>
      <c r="R289" s="272"/>
      <c r="S289" s="272"/>
      <c r="T289" s="272"/>
      <c r="U289" s="272"/>
      <c r="V289" s="272"/>
      <c r="W289" s="272"/>
      <c r="X289" s="272"/>
      <c r="Y289" s="276"/>
      <c r="Z289" s="276"/>
      <c r="AA289" s="606"/>
      <c r="AB289" s="181"/>
      <c r="AC289" s="117"/>
      <c r="AD289" s="106"/>
      <c r="AE289" s="106"/>
      <c r="AF289" s="106"/>
    </row>
    <row r="290" spans="1:32" ht="21" customHeight="1" thickBot="1" x14ac:dyDescent="0.45">
      <c r="A290" s="106"/>
      <c r="B290" s="272"/>
      <c r="C290" s="272"/>
      <c r="D290" s="106"/>
      <c r="E290" s="475"/>
      <c r="F290" s="475"/>
      <c r="G290" s="272"/>
      <c r="H290" s="272"/>
      <c r="I290" s="272"/>
      <c r="J290" s="272"/>
      <c r="K290" s="272"/>
      <c r="L290" s="272"/>
      <c r="M290" s="272"/>
      <c r="N290" s="272"/>
      <c r="O290" s="272"/>
      <c r="P290" s="272"/>
      <c r="Q290" s="272"/>
      <c r="R290" s="272"/>
      <c r="S290" s="272"/>
      <c r="T290" s="272"/>
      <c r="U290" s="272"/>
      <c r="V290" s="272"/>
      <c r="W290" s="272"/>
      <c r="X290" s="272"/>
      <c r="Y290" s="276"/>
      <c r="Z290" s="276"/>
      <c r="AA290" s="606"/>
      <c r="AB290" s="181"/>
      <c r="AC290" s="117"/>
      <c r="AD290" s="106"/>
      <c r="AE290" s="106"/>
      <c r="AF290" s="106"/>
    </row>
    <row r="291" spans="1:32" ht="21" customHeight="1" thickBot="1" x14ac:dyDescent="0.45">
      <c r="A291" s="106"/>
      <c r="B291" s="272"/>
      <c r="C291" s="272"/>
      <c r="D291" s="106"/>
      <c r="E291" s="475"/>
      <c r="F291" s="475"/>
      <c r="G291" s="272"/>
      <c r="H291" s="272"/>
      <c r="I291" s="272"/>
      <c r="J291" s="272"/>
      <c r="K291" s="272"/>
      <c r="L291" s="272"/>
      <c r="M291" s="272"/>
      <c r="N291" s="272"/>
      <c r="O291" s="272"/>
      <c r="P291" s="272"/>
      <c r="Q291" s="272"/>
      <c r="R291" s="272"/>
      <c r="S291" s="272"/>
      <c r="T291" s="272"/>
      <c r="U291" s="272"/>
      <c r="V291" s="272"/>
      <c r="W291" s="272"/>
      <c r="X291" s="272"/>
      <c r="Y291" s="276"/>
      <c r="Z291" s="276"/>
      <c r="AA291" s="606"/>
      <c r="AB291" s="181"/>
      <c r="AC291" s="117"/>
      <c r="AD291" s="106"/>
      <c r="AE291" s="106"/>
      <c r="AF291" s="106"/>
    </row>
    <row r="292" spans="1:32" ht="21" customHeight="1" thickBot="1" x14ac:dyDescent="0.45">
      <c r="A292" s="106"/>
      <c r="B292" s="272"/>
      <c r="C292" s="272"/>
      <c r="D292" s="106"/>
      <c r="E292" s="475"/>
      <c r="F292" s="475"/>
      <c r="G292" s="272"/>
      <c r="H292" s="272"/>
      <c r="I292" s="272"/>
      <c r="J292" s="272"/>
      <c r="K292" s="272"/>
      <c r="L292" s="272"/>
      <c r="M292" s="272"/>
      <c r="N292" s="272"/>
      <c r="O292" s="272"/>
      <c r="P292" s="272"/>
      <c r="Q292" s="272"/>
      <c r="R292" s="272"/>
      <c r="S292" s="272"/>
      <c r="T292" s="272"/>
      <c r="U292" s="272"/>
      <c r="V292" s="272"/>
      <c r="W292" s="272"/>
      <c r="X292" s="272"/>
      <c r="Y292" s="276"/>
      <c r="Z292" s="276"/>
      <c r="AA292" s="606"/>
      <c r="AB292" s="181"/>
      <c r="AC292" s="117"/>
      <c r="AD292" s="106"/>
      <c r="AE292" s="106"/>
      <c r="AF292" s="106"/>
    </row>
    <row r="293" spans="1:32" ht="21" customHeight="1" thickBot="1" x14ac:dyDescent="0.45">
      <c r="A293" s="106"/>
      <c r="B293" s="272"/>
      <c r="C293" s="272"/>
      <c r="D293" s="106"/>
      <c r="E293" s="475"/>
      <c r="F293" s="475"/>
      <c r="G293" s="272"/>
      <c r="H293" s="272"/>
      <c r="I293" s="272"/>
      <c r="J293" s="272"/>
      <c r="K293" s="272"/>
      <c r="L293" s="272"/>
      <c r="M293" s="272"/>
      <c r="N293" s="272"/>
      <c r="O293" s="272"/>
      <c r="P293" s="272"/>
      <c r="Q293" s="272"/>
      <c r="R293" s="272"/>
      <c r="S293" s="272"/>
      <c r="T293" s="272"/>
      <c r="U293" s="272"/>
      <c r="V293" s="272"/>
      <c r="W293" s="272"/>
      <c r="X293" s="272"/>
      <c r="Y293" s="276"/>
      <c r="Z293" s="276"/>
      <c r="AA293" s="606"/>
      <c r="AB293" s="181"/>
      <c r="AC293" s="117"/>
      <c r="AD293" s="106"/>
      <c r="AE293" s="106"/>
      <c r="AF293" s="106"/>
    </row>
    <row r="294" spans="1:32" ht="21" customHeight="1" thickBot="1" x14ac:dyDescent="0.45">
      <c r="A294" s="106"/>
      <c r="B294" s="272"/>
      <c r="C294" s="272"/>
      <c r="D294" s="106"/>
      <c r="E294" s="475"/>
      <c r="F294" s="475"/>
      <c r="G294" s="272"/>
      <c r="H294" s="272"/>
      <c r="I294" s="272"/>
      <c r="J294" s="272"/>
      <c r="K294" s="272"/>
      <c r="L294" s="272"/>
      <c r="M294" s="272"/>
      <c r="N294" s="272"/>
      <c r="O294" s="272"/>
      <c r="P294" s="272"/>
      <c r="Q294" s="272"/>
      <c r="R294" s="272"/>
      <c r="S294" s="272"/>
      <c r="T294" s="272"/>
      <c r="U294" s="272"/>
      <c r="V294" s="272"/>
      <c r="W294" s="272"/>
      <c r="X294" s="272"/>
      <c r="Y294" s="276"/>
      <c r="Z294" s="276"/>
      <c r="AA294" s="606"/>
      <c r="AB294" s="181"/>
      <c r="AC294" s="117"/>
      <c r="AD294" s="106"/>
      <c r="AE294" s="106"/>
      <c r="AF294" s="106"/>
    </row>
    <row r="295" spans="1:32" ht="21" customHeight="1" thickBot="1" x14ac:dyDescent="0.45">
      <c r="A295" s="106"/>
      <c r="B295" s="272"/>
      <c r="C295" s="272"/>
      <c r="D295" s="106"/>
      <c r="E295" s="475"/>
      <c r="F295" s="475"/>
      <c r="G295" s="272"/>
      <c r="H295" s="272"/>
      <c r="I295" s="272"/>
      <c r="J295" s="272"/>
      <c r="K295" s="272"/>
      <c r="L295" s="272"/>
      <c r="M295" s="272"/>
      <c r="N295" s="272"/>
      <c r="O295" s="272"/>
      <c r="P295" s="272"/>
      <c r="Q295" s="272"/>
      <c r="R295" s="272"/>
      <c r="S295" s="272"/>
      <c r="T295" s="272"/>
      <c r="U295" s="272"/>
      <c r="V295" s="272"/>
      <c r="W295" s="272"/>
      <c r="X295" s="272"/>
      <c r="Y295" s="276"/>
      <c r="Z295" s="276"/>
      <c r="AA295" s="606"/>
      <c r="AB295" s="181"/>
      <c r="AC295" s="117"/>
      <c r="AD295" s="106"/>
      <c r="AE295" s="106"/>
      <c r="AF295" s="106"/>
    </row>
    <row r="296" spans="1:32" ht="21" customHeight="1" thickBot="1" x14ac:dyDescent="0.45">
      <c r="A296" s="106"/>
      <c r="B296" s="272"/>
      <c r="C296" s="272"/>
      <c r="D296" s="106"/>
      <c r="E296" s="475"/>
      <c r="F296" s="475"/>
      <c r="G296" s="272"/>
      <c r="H296" s="272"/>
      <c r="I296" s="272"/>
      <c r="J296" s="272"/>
      <c r="K296" s="272"/>
      <c r="L296" s="272"/>
      <c r="M296" s="272"/>
      <c r="N296" s="272"/>
      <c r="O296" s="272"/>
      <c r="P296" s="272"/>
      <c r="Q296" s="272"/>
      <c r="R296" s="272"/>
      <c r="S296" s="272"/>
      <c r="T296" s="272"/>
      <c r="U296" s="272"/>
      <c r="V296" s="272"/>
      <c r="W296" s="272"/>
      <c r="X296" s="272"/>
      <c r="Y296" s="276"/>
      <c r="Z296" s="276"/>
      <c r="AA296" s="606"/>
      <c r="AB296" s="181"/>
      <c r="AC296" s="117"/>
      <c r="AD296" s="106"/>
      <c r="AE296" s="106"/>
      <c r="AF296" s="106"/>
    </row>
    <row r="297" spans="1:32" ht="21" customHeight="1" thickBot="1" x14ac:dyDescent="0.45">
      <c r="A297" s="106"/>
      <c r="B297" s="272"/>
      <c r="C297" s="272"/>
      <c r="D297" s="106"/>
      <c r="E297" s="475"/>
      <c r="F297" s="475"/>
      <c r="G297" s="272"/>
      <c r="H297" s="272"/>
      <c r="I297" s="272"/>
      <c r="J297" s="272"/>
      <c r="K297" s="272"/>
      <c r="L297" s="272"/>
      <c r="M297" s="272"/>
      <c r="N297" s="272"/>
      <c r="O297" s="272"/>
      <c r="P297" s="272"/>
      <c r="Q297" s="272"/>
      <c r="R297" s="272"/>
      <c r="S297" s="272"/>
      <c r="T297" s="272"/>
      <c r="U297" s="272"/>
      <c r="V297" s="272"/>
      <c r="W297" s="272"/>
      <c r="X297" s="272"/>
      <c r="Y297" s="276"/>
      <c r="Z297" s="276"/>
      <c r="AA297" s="606"/>
      <c r="AB297" s="181"/>
      <c r="AC297" s="117"/>
      <c r="AD297" s="106"/>
      <c r="AE297" s="106"/>
      <c r="AF297" s="106"/>
    </row>
    <row r="298" spans="1:32" ht="21" customHeight="1" thickBot="1" x14ac:dyDescent="0.45">
      <c r="A298" s="106"/>
      <c r="B298" s="272"/>
      <c r="C298" s="272"/>
      <c r="D298" s="106"/>
      <c r="E298" s="475"/>
      <c r="F298" s="475"/>
      <c r="G298" s="272"/>
      <c r="H298" s="272"/>
      <c r="I298" s="272"/>
      <c r="J298" s="272"/>
      <c r="K298" s="272"/>
      <c r="L298" s="272"/>
      <c r="M298" s="272"/>
      <c r="N298" s="272"/>
      <c r="O298" s="272"/>
      <c r="P298" s="272"/>
      <c r="Q298" s="272"/>
      <c r="R298" s="272"/>
      <c r="S298" s="272"/>
      <c r="T298" s="272"/>
      <c r="U298" s="272"/>
      <c r="V298" s="272"/>
      <c r="W298" s="272"/>
      <c r="X298" s="272"/>
      <c r="Y298" s="276"/>
      <c r="Z298" s="276"/>
      <c r="AA298" s="606"/>
      <c r="AB298" s="181"/>
      <c r="AC298" s="117"/>
      <c r="AD298" s="106"/>
      <c r="AE298" s="106"/>
      <c r="AF298" s="106"/>
    </row>
    <row r="299" spans="1:32" ht="21" customHeight="1" thickBot="1" x14ac:dyDescent="0.45">
      <c r="A299" s="106"/>
      <c r="B299" s="272"/>
      <c r="C299" s="272"/>
      <c r="D299" s="106"/>
      <c r="E299" s="475"/>
      <c r="F299" s="475"/>
      <c r="G299" s="272"/>
      <c r="H299" s="272"/>
      <c r="I299" s="272"/>
      <c r="J299" s="272"/>
      <c r="K299" s="272"/>
      <c r="L299" s="272"/>
      <c r="M299" s="272"/>
      <c r="N299" s="272"/>
      <c r="O299" s="272"/>
      <c r="P299" s="272"/>
      <c r="Q299" s="272"/>
      <c r="R299" s="272"/>
      <c r="S299" s="272"/>
      <c r="T299" s="272"/>
      <c r="U299" s="272"/>
      <c r="V299" s="272"/>
      <c r="W299" s="272"/>
      <c r="X299" s="272"/>
      <c r="Y299" s="276"/>
      <c r="Z299" s="276"/>
      <c r="AA299" s="606"/>
      <c r="AB299" s="181"/>
      <c r="AC299" s="117"/>
      <c r="AD299" s="106"/>
      <c r="AE299" s="106"/>
      <c r="AF299" s="106"/>
    </row>
    <row r="300" spans="1:32" ht="21" customHeight="1" thickBot="1" x14ac:dyDescent="0.45">
      <c r="A300" s="106"/>
      <c r="B300" s="272"/>
      <c r="C300" s="272"/>
      <c r="D300" s="106"/>
      <c r="E300" s="475"/>
      <c r="F300" s="475"/>
      <c r="G300" s="272"/>
      <c r="H300" s="272"/>
      <c r="I300" s="272"/>
      <c r="J300" s="272"/>
      <c r="K300" s="272"/>
      <c r="L300" s="272"/>
      <c r="M300" s="272"/>
      <c r="N300" s="272"/>
      <c r="O300" s="272"/>
      <c r="P300" s="272"/>
      <c r="Q300" s="272"/>
      <c r="R300" s="272"/>
      <c r="S300" s="272"/>
      <c r="T300" s="272"/>
      <c r="U300" s="272"/>
      <c r="V300" s="272"/>
      <c r="W300" s="272"/>
      <c r="X300" s="272"/>
      <c r="Y300" s="276"/>
      <c r="Z300" s="276"/>
      <c r="AA300" s="606"/>
      <c r="AB300" s="181"/>
      <c r="AC300" s="117"/>
      <c r="AD300" s="106"/>
      <c r="AE300" s="106"/>
      <c r="AF300" s="106"/>
    </row>
    <row r="301" spans="1:32" ht="21" customHeight="1" thickBot="1" x14ac:dyDescent="0.45">
      <c r="A301" s="106"/>
      <c r="B301" s="272"/>
      <c r="C301" s="272"/>
      <c r="D301" s="106"/>
      <c r="E301" s="475"/>
      <c r="F301" s="475"/>
      <c r="G301" s="272"/>
      <c r="H301" s="272"/>
      <c r="I301" s="272"/>
      <c r="J301" s="272"/>
      <c r="K301" s="272"/>
      <c r="L301" s="272"/>
      <c r="M301" s="272"/>
      <c r="N301" s="272"/>
      <c r="O301" s="272"/>
      <c r="P301" s="272"/>
      <c r="Q301" s="272"/>
      <c r="R301" s="272"/>
      <c r="S301" s="272"/>
      <c r="T301" s="272"/>
      <c r="U301" s="272"/>
      <c r="V301" s="272"/>
      <c r="W301" s="272"/>
      <c r="X301" s="272"/>
      <c r="Y301" s="276"/>
      <c r="Z301" s="276"/>
      <c r="AA301" s="606"/>
      <c r="AB301" s="181"/>
      <c r="AC301" s="117"/>
      <c r="AD301" s="106"/>
      <c r="AE301" s="106"/>
      <c r="AF301" s="106"/>
    </row>
    <row r="302" spans="1:32" ht="21" customHeight="1" thickBot="1" x14ac:dyDescent="0.45">
      <c r="A302" s="106"/>
      <c r="B302" s="272"/>
      <c r="C302" s="272"/>
      <c r="D302" s="106"/>
      <c r="E302" s="475"/>
      <c r="F302" s="475"/>
      <c r="G302" s="272"/>
      <c r="H302" s="272"/>
      <c r="I302" s="272"/>
      <c r="J302" s="272"/>
      <c r="K302" s="272"/>
      <c r="L302" s="272"/>
      <c r="M302" s="272"/>
      <c r="N302" s="272"/>
      <c r="O302" s="272"/>
      <c r="P302" s="272"/>
      <c r="Q302" s="272"/>
      <c r="R302" s="272"/>
      <c r="S302" s="272"/>
      <c r="T302" s="272"/>
      <c r="U302" s="272"/>
      <c r="V302" s="272"/>
      <c r="W302" s="272"/>
      <c r="X302" s="272"/>
      <c r="Y302" s="276"/>
      <c r="Z302" s="276"/>
      <c r="AA302" s="606"/>
      <c r="AB302" s="181"/>
      <c r="AC302" s="117"/>
      <c r="AD302" s="106"/>
      <c r="AE302" s="106"/>
      <c r="AF302" s="106"/>
    </row>
    <row r="303" spans="1:32" ht="21" customHeight="1" thickBot="1" x14ac:dyDescent="0.45">
      <c r="A303" s="106"/>
      <c r="B303" s="272"/>
      <c r="C303" s="272"/>
      <c r="D303" s="106"/>
      <c r="E303" s="475"/>
      <c r="F303" s="475"/>
      <c r="G303" s="272"/>
      <c r="H303" s="272"/>
      <c r="I303" s="272"/>
      <c r="J303" s="272"/>
      <c r="K303" s="272"/>
      <c r="L303" s="272"/>
      <c r="M303" s="272"/>
      <c r="N303" s="272"/>
      <c r="O303" s="272"/>
      <c r="P303" s="272"/>
      <c r="Q303" s="272"/>
      <c r="R303" s="272"/>
      <c r="S303" s="272"/>
      <c r="T303" s="272"/>
      <c r="U303" s="272"/>
      <c r="V303" s="272"/>
      <c r="W303" s="272"/>
      <c r="X303" s="272"/>
      <c r="Y303" s="276"/>
      <c r="Z303" s="276"/>
      <c r="AA303" s="606"/>
      <c r="AB303" s="181"/>
      <c r="AC303" s="117"/>
      <c r="AD303" s="106"/>
      <c r="AE303" s="106"/>
      <c r="AF303" s="106"/>
    </row>
    <row r="304" spans="1:32" ht="21" customHeight="1" thickBot="1" x14ac:dyDescent="0.45">
      <c r="A304" s="106"/>
      <c r="B304" s="272"/>
      <c r="C304" s="272"/>
      <c r="D304" s="106"/>
      <c r="E304" s="475"/>
      <c r="F304" s="475"/>
      <c r="G304" s="272"/>
      <c r="H304" s="272"/>
      <c r="I304" s="272"/>
      <c r="J304" s="272"/>
      <c r="K304" s="272"/>
      <c r="L304" s="272"/>
      <c r="M304" s="272"/>
      <c r="N304" s="272"/>
      <c r="O304" s="272"/>
      <c r="P304" s="272"/>
      <c r="Q304" s="272"/>
      <c r="R304" s="272"/>
      <c r="S304" s="272"/>
      <c r="T304" s="272"/>
      <c r="U304" s="272"/>
      <c r="V304" s="272"/>
      <c r="W304" s="272"/>
      <c r="X304" s="272"/>
      <c r="Y304" s="276"/>
      <c r="Z304" s="276"/>
      <c r="AA304" s="606"/>
      <c r="AB304" s="181"/>
      <c r="AC304" s="117"/>
      <c r="AD304" s="106"/>
      <c r="AE304" s="106"/>
      <c r="AF304" s="106"/>
    </row>
    <row r="305" spans="1:32" ht="21" customHeight="1" thickBot="1" x14ac:dyDescent="0.45">
      <c r="A305" s="106"/>
      <c r="B305" s="272"/>
      <c r="C305" s="272"/>
      <c r="D305" s="106"/>
      <c r="E305" s="475"/>
      <c r="F305" s="475"/>
      <c r="G305" s="272"/>
      <c r="H305" s="272"/>
      <c r="I305" s="272"/>
      <c r="J305" s="272"/>
      <c r="K305" s="272"/>
      <c r="L305" s="272"/>
      <c r="M305" s="272"/>
      <c r="N305" s="272"/>
      <c r="O305" s="272"/>
      <c r="P305" s="272"/>
      <c r="Q305" s="272"/>
      <c r="R305" s="272"/>
      <c r="S305" s="272"/>
      <c r="T305" s="272"/>
      <c r="U305" s="272"/>
      <c r="V305" s="272"/>
      <c r="W305" s="272"/>
      <c r="X305" s="272"/>
      <c r="Y305" s="276"/>
      <c r="Z305" s="276"/>
      <c r="AA305" s="606"/>
      <c r="AB305" s="181"/>
      <c r="AC305" s="117"/>
      <c r="AD305" s="106"/>
      <c r="AE305" s="106"/>
      <c r="AF305" s="106"/>
    </row>
    <row r="306" spans="1:32" ht="21" customHeight="1" thickBot="1" x14ac:dyDescent="0.45">
      <c r="A306" s="106"/>
      <c r="B306" s="272"/>
      <c r="C306" s="272"/>
      <c r="D306" s="106"/>
      <c r="E306" s="475"/>
      <c r="F306" s="475"/>
      <c r="G306" s="272"/>
      <c r="H306" s="272"/>
      <c r="I306" s="272"/>
      <c r="J306" s="272"/>
      <c r="K306" s="272"/>
      <c r="L306" s="272"/>
      <c r="M306" s="272"/>
      <c r="N306" s="272"/>
      <c r="O306" s="272"/>
      <c r="P306" s="272"/>
      <c r="Q306" s="272"/>
      <c r="R306" s="272"/>
      <c r="S306" s="272"/>
      <c r="T306" s="272"/>
      <c r="U306" s="272"/>
      <c r="V306" s="272"/>
      <c r="W306" s="272"/>
      <c r="X306" s="272"/>
      <c r="Y306" s="276"/>
      <c r="Z306" s="276"/>
      <c r="AA306" s="606"/>
      <c r="AB306" s="181"/>
      <c r="AC306" s="117"/>
      <c r="AD306" s="106"/>
      <c r="AE306" s="106"/>
      <c r="AF306" s="106"/>
    </row>
    <row r="307" spans="1:32" ht="21" customHeight="1" thickBot="1" x14ac:dyDescent="0.45">
      <c r="A307" s="106"/>
      <c r="B307" s="272"/>
      <c r="C307" s="272"/>
      <c r="D307" s="106"/>
      <c r="E307" s="475"/>
      <c r="F307" s="475"/>
      <c r="G307" s="272"/>
      <c r="H307" s="272"/>
      <c r="I307" s="272"/>
      <c r="J307" s="272"/>
      <c r="K307" s="272"/>
      <c r="L307" s="272"/>
      <c r="M307" s="272"/>
      <c r="N307" s="272"/>
      <c r="O307" s="272"/>
      <c r="P307" s="272"/>
      <c r="Q307" s="272"/>
      <c r="R307" s="272"/>
      <c r="S307" s="272"/>
      <c r="T307" s="272"/>
      <c r="U307" s="272"/>
      <c r="V307" s="272"/>
      <c r="W307" s="272"/>
      <c r="X307" s="272"/>
      <c r="Y307" s="276"/>
      <c r="Z307" s="276"/>
      <c r="AA307" s="606"/>
      <c r="AB307" s="181"/>
      <c r="AC307" s="117"/>
      <c r="AD307" s="106"/>
      <c r="AE307" s="106"/>
      <c r="AF307" s="106"/>
    </row>
    <row r="308" spans="1:32" ht="21" customHeight="1" thickBot="1" x14ac:dyDescent="0.45">
      <c r="A308" s="106"/>
      <c r="B308" s="272"/>
      <c r="C308" s="272"/>
      <c r="D308" s="106"/>
      <c r="E308" s="475"/>
      <c r="F308" s="475"/>
      <c r="G308" s="272"/>
      <c r="H308" s="272"/>
      <c r="I308" s="272"/>
      <c r="J308" s="272"/>
      <c r="K308" s="272"/>
      <c r="L308" s="272"/>
      <c r="M308" s="272"/>
      <c r="N308" s="272"/>
      <c r="O308" s="272"/>
      <c r="P308" s="272"/>
      <c r="Q308" s="272"/>
      <c r="R308" s="272"/>
      <c r="S308" s="272"/>
      <c r="T308" s="272"/>
      <c r="U308" s="272"/>
      <c r="V308" s="272"/>
      <c r="W308" s="272"/>
      <c r="X308" s="272"/>
      <c r="Y308" s="276"/>
      <c r="Z308" s="276"/>
      <c r="AA308" s="606"/>
      <c r="AB308" s="181"/>
      <c r="AC308" s="117"/>
      <c r="AD308" s="106"/>
      <c r="AE308" s="106"/>
      <c r="AF308" s="106"/>
    </row>
    <row r="309" spans="1:32" ht="21" customHeight="1" thickBot="1" x14ac:dyDescent="0.45">
      <c r="A309" s="106"/>
      <c r="B309" s="272"/>
      <c r="C309" s="272"/>
      <c r="D309" s="106"/>
      <c r="E309" s="475"/>
      <c r="F309" s="475"/>
      <c r="G309" s="272"/>
      <c r="H309" s="272"/>
      <c r="I309" s="272"/>
      <c r="J309" s="272"/>
      <c r="K309" s="272"/>
      <c r="L309" s="272"/>
      <c r="M309" s="272"/>
      <c r="N309" s="272"/>
      <c r="O309" s="272"/>
      <c r="P309" s="272"/>
      <c r="Q309" s="272"/>
      <c r="R309" s="272"/>
      <c r="S309" s="272"/>
      <c r="T309" s="272"/>
      <c r="U309" s="272"/>
      <c r="V309" s="272"/>
      <c r="W309" s="272"/>
      <c r="X309" s="272"/>
      <c r="Y309" s="276"/>
      <c r="Z309" s="276"/>
      <c r="AA309" s="606"/>
      <c r="AB309" s="181"/>
      <c r="AC309" s="117"/>
      <c r="AD309" s="106"/>
      <c r="AE309" s="106"/>
      <c r="AF309" s="106"/>
    </row>
    <row r="310" spans="1:32" ht="21" customHeight="1" thickBot="1" x14ac:dyDescent="0.45">
      <c r="A310" s="106"/>
      <c r="B310" s="272"/>
      <c r="C310" s="272"/>
      <c r="D310" s="106"/>
      <c r="E310" s="475"/>
      <c r="F310" s="475"/>
      <c r="G310" s="272"/>
      <c r="H310" s="272"/>
      <c r="I310" s="272"/>
      <c r="J310" s="272"/>
      <c r="K310" s="272"/>
      <c r="L310" s="272"/>
      <c r="M310" s="272"/>
      <c r="N310" s="272"/>
      <c r="O310" s="272"/>
      <c r="P310" s="272"/>
      <c r="Q310" s="272"/>
      <c r="R310" s="272"/>
      <c r="S310" s="272"/>
      <c r="T310" s="272"/>
      <c r="U310" s="272"/>
      <c r="V310" s="272"/>
      <c r="W310" s="272"/>
      <c r="X310" s="272"/>
      <c r="Y310" s="276"/>
      <c r="Z310" s="276"/>
      <c r="AA310" s="606"/>
      <c r="AB310" s="181"/>
      <c r="AC310" s="117"/>
      <c r="AD310" s="106"/>
      <c r="AE310" s="106"/>
      <c r="AF310" s="106"/>
    </row>
    <row r="311" spans="1:32" ht="21" customHeight="1" thickBot="1" x14ac:dyDescent="0.45">
      <c r="A311" s="106"/>
      <c r="B311" s="272"/>
      <c r="C311" s="272"/>
      <c r="D311" s="106"/>
      <c r="E311" s="475"/>
      <c r="F311" s="475"/>
      <c r="G311" s="272"/>
      <c r="H311" s="272"/>
      <c r="I311" s="272"/>
      <c r="J311" s="272"/>
      <c r="K311" s="272"/>
      <c r="L311" s="272"/>
      <c r="M311" s="272"/>
      <c r="N311" s="272"/>
      <c r="O311" s="272"/>
      <c r="P311" s="272"/>
      <c r="Q311" s="272"/>
      <c r="R311" s="272"/>
      <c r="S311" s="272"/>
      <c r="T311" s="272"/>
      <c r="U311" s="272"/>
      <c r="V311" s="272"/>
      <c r="W311" s="272"/>
      <c r="X311" s="272"/>
      <c r="Y311" s="276"/>
      <c r="Z311" s="276"/>
      <c r="AA311" s="606"/>
      <c r="AB311" s="181"/>
      <c r="AC311" s="117"/>
      <c r="AD311" s="106"/>
      <c r="AE311" s="106"/>
      <c r="AF311" s="106"/>
    </row>
    <row r="312" spans="1:32" ht="21" customHeight="1" thickBot="1" x14ac:dyDescent="0.45">
      <c r="A312" s="106"/>
      <c r="B312" s="272"/>
      <c r="C312" s="272"/>
      <c r="D312" s="106"/>
      <c r="E312" s="475"/>
      <c r="F312" s="475"/>
      <c r="G312" s="272"/>
      <c r="H312" s="272"/>
      <c r="I312" s="272"/>
      <c r="J312" s="272"/>
      <c r="K312" s="272"/>
      <c r="L312" s="272"/>
      <c r="M312" s="272"/>
      <c r="N312" s="272"/>
      <c r="O312" s="272"/>
      <c r="P312" s="272"/>
      <c r="Q312" s="272"/>
      <c r="R312" s="272"/>
      <c r="S312" s="272"/>
      <c r="T312" s="272"/>
      <c r="U312" s="272"/>
      <c r="V312" s="272"/>
      <c r="W312" s="272"/>
      <c r="X312" s="272"/>
      <c r="Y312" s="276"/>
      <c r="Z312" s="276"/>
      <c r="AA312" s="606"/>
      <c r="AB312" s="181"/>
      <c r="AC312" s="117"/>
      <c r="AD312" s="106"/>
      <c r="AE312" s="106"/>
      <c r="AF312" s="106"/>
    </row>
    <row r="313" spans="1:32" ht="21" customHeight="1" thickBot="1" x14ac:dyDescent="0.45">
      <c r="A313" s="106"/>
      <c r="B313" s="272"/>
      <c r="C313" s="272"/>
      <c r="D313" s="106"/>
      <c r="E313" s="475"/>
      <c r="F313" s="475"/>
      <c r="G313" s="272"/>
      <c r="H313" s="272"/>
      <c r="I313" s="272"/>
      <c r="J313" s="272"/>
      <c r="K313" s="272"/>
      <c r="L313" s="272"/>
      <c r="M313" s="272"/>
      <c r="N313" s="272"/>
      <c r="O313" s="272"/>
      <c r="P313" s="272"/>
      <c r="Q313" s="272"/>
      <c r="R313" s="272"/>
      <c r="S313" s="272"/>
      <c r="T313" s="272"/>
      <c r="U313" s="272"/>
      <c r="V313" s="272"/>
      <c r="W313" s="272"/>
      <c r="X313" s="272"/>
      <c r="Y313" s="276"/>
      <c r="Z313" s="276"/>
      <c r="AA313" s="606"/>
      <c r="AB313" s="181"/>
      <c r="AC313" s="117"/>
      <c r="AD313" s="106"/>
      <c r="AE313" s="106"/>
      <c r="AF313" s="106"/>
    </row>
    <row r="314" spans="1:32" ht="21" customHeight="1" thickBot="1" x14ac:dyDescent="0.45">
      <c r="A314" s="106"/>
      <c r="B314" s="272"/>
      <c r="C314" s="272"/>
      <c r="D314" s="106"/>
      <c r="E314" s="475"/>
      <c r="F314" s="475"/>
      <c r="G314" s="272"/>
      <c r="H314" s="272"/>
      <c r="I314" s="272"/>
      <c r="J314" s="272"/>
      <c r="K314" s="272"/>
      <c r="L314" s="272"/>
      <c r="M314" s="272"/>
      <c r="N314" s="272"/>
      <c r="O314" s="272"/>
      <c r="P314" s="272"/>
      <c r="Q314" s="272"/>
      <c r="R314" s="272"/>
      <c r="S314" s="272"/>
      <c r="T314" s="272"/>
      <c r="U314" s="272"/>
      <c r="V314" s="272"/>
      <c r="W314" s="272"/>
      <c r="X314" s="272"/>
      <c r="Y314" s="276"/>
      <c r="Z314" s="276"/>
      <c r="AA314" s="606"/>
      <c r="AB314" s="181"/>
      <c r="AC314" s="117"/>
      <c r="AD314" s="106"/>
      <c r="AE314" s="106"/>
      <c r="AF314" s="106"/>
    </row>
    <row r="315" spans="1:32" ht="21" customHeight="1" thickBot="1" x14ac:dyDescent="0.45">
      <c r="A315" s="106"/>
      <c r="B315" s="272"/>
      <c r="C315" s="272"/>
      <c r="D315" s="106"/>
      <c r="E315" s="475"/>
      <c r="F315" s="475"/>
      <c r="G315" s="272"/>
      <c r="H315" s="272"/>
      <c r="I315" s="272"/>
      <c r="J315" s="272"/>
      <c r="K315" s="272"/>
      <c r="L315" s="272"/>
      <c r="M315" s="272"/>
      <c r="N315" s="272"/>
      <c r="O315" s="272"/>
      <c r="P315" s="272"/>
      <c r="Q315" s="272"/>
      <c r="R315" s="272"/>
      <c r="S315" s="272"/>
      <c r="T315" s="272"/>
      <c r="U315" s="272"/>
      <c r="V315" s="272"/>
      <c r="W315" s="272"/>
      <c r="X315" s="272"/>
      <c r="Y315" s="276"/>
      <c r="Z315" s="276"/>
      <c r="AA315" s="606"/>
      <c r="AB315" s="181"/>
      <c r="AC315" s="117"/>
      <c r="AD315" s="106"/>
      <c r="AE315" s="106"/>
      <c r="AF315" s="106"/>
    </row>
    <row r="316" spans="1:32" ht="21" customHeight="1" thickBot="1" x14ac:dyDescent="0.45">
      <c r="A316" s="106"/>
      <c r="B316" s="272"/>
      <c r="C316" s="272"/>
      <c r="D316" s="106"/>
      <c r="E316" s="475"/>
      <c r="F316" s="475"/>
      <c r="G316" s="272"/>
      <c r="H316" s="272"/>
      <c r="I316" s="272"/>
      <c r="J316" s="272"/>
      <c r="K316" s="272"/>
      <c r="L316" s="272"/>
      <c r="M316" s="272"/>
      <c r="N316" s="272"/>
      <c r="O316" s="272"/>
      <c r="P316" s="272"/>
      <c r="Q316" s="272"/>
      <c r="R316" s="272"/>
      <c r="S316" s="272"/>
      <c r="T316" s="272"/>
      <c r="U316" s="272"/>
      <c r="V316" s="272"/>
      <c r="W316" s="272"/>
      <c r="X316" s="272"/>
      <c r="Y316" s="276"/>
      <c r="Z316" s="276"/>
      <c r="AA316" s="606"/>
      <c r="AB316" s="181"/>
      <c r="AC316" s="117"/>
      <c r="AD316" s="106"/>
      <c r="AE316" s="106"/>
      <c r="AF316" s="106"/>
    </row>
    <row r="317" spans="1:32" ht="21" customHeight="1" thickBot="1" x14ac:dyDescent="0.45">
      <c r="A317" s="106"/>
      <c r="B317" s="272"/>
      <c r="C317" s="272"/>
      <c r="D317" s="106"/>
      <c r="E317" s="475"/>
      <c r="F317" s="475"/>
      <c r="G317" s="272"/>
      <c r="H317" s="272"/>
      <c r="I317" s="272"/>
      <c r="J317" s="272"/>
      <c r="K317" s="272"/>
      <c r="L317" s="272"/>
      <c r="M317" s="272"/>
      <c r="N317" s="272"/>
      <c r="O317" s="272"/>
      <c r="P317" s="272"/>
      <c r="Q317" s="272"/>
      <c r="R317" s="272"/>
      <c r="S317" s="272"/>
      <c r="T317" s="272"/>
      <c r="U317" s="272"/>
      <c r="V317" s="272"/>
      <c r="W317" s="272"/>
      <c r="X317" s="272"/>
      <c r="Y317" s="276"/>
      <c r="Z317" s="276"/>
      <c r="AA317" s="606"/>
      <c r="AB317" s="181"/>
      <c r="AC317" s="117"/>
      <c r="AD317" s="106"/>
      <c r="AE317" s="106"/>
      <c r="AF317" s="106"/>
    </row>
    <row r="318" spans="1:32" ht="21" customHeight="1" thickBot="1" x14ac:dyDescent="0.45">
      <c r="A318" s="106"/>
      <c r="B318" s="272"/>
      <c r="C318" s="272"/>
      <c r="D318" s="106"/>
      <c r="E318" s="475"/>
      <c r="F318" s="475"/>
      <c r="G318" s="272"/>
      <c r="H318" s="272"/>
      <c r="I318" s="272"/>
      <c r="J318" s="272"/>
      <c r="K318" s="272"/>
      <c r="L318" s="272"/>
      <c r="M318" s="272"/>
      <c r="N318" s="272"/>
      <c r="O318" s="272"/>
      <c r="P318" s="272"/>
      <c r="Q318" s="272"/>
      <c r="R318" s="272"/>
      <c r="S318" s="272"/>
      <c r="T318" s="272"/>
      <c r="U318" s="272"/>
      <c r="V318" s="272"/>
      <c r="W318" s="272"/>
      <c r="X318" s="272"/>
      <c r="Y318" s="276"/>
      <c r="Z318" s="276"/>
      <c r="AA318" s="606"/>
      <c r="AB318" s="181"/>
      <c r="AC318" s="117"/>
      <c r="AD318" s="106"/>
      <c r="AE318" s="106"/>
      <c r="AF318" s="106"/>
    </row>
    <row r="319" spans="1:32" ht="21" customHeight="1" thickBot="1" x14ac:dyDescent="0.45">
      <c r="A319" s="106"/>
      <c r="B319" s="272"/>
      <c r="C319" s="272"/>
      <c r="D319" s="106"/>
      <c r="E319" s="475"/>
      <c r="F319" s="475"/>
      <c r="G319" s="272"/>
      <c r="H319" s="272"/>
      <c r="I319" s="272"/>
      <c r="J319" s="272"/>
      <c r="K319" s="272"/>
      <c r="L319" s="272"/>
      <c r="M319" s="272"/>
      <c r="N319" s="272"/>
      <c r="O319" s="272"/>
      <c r="P319" s="272"/>
      <c r="Q319" s="272"/>
      <c r="R319" s="272"/>
      <c r="S319" s="272"/>
      <c r="T319" s="272"/>
      <c r="U319" s="272"/>
      <c r="V319" s="272"/>
      <c r="W319" s="272"/>
      <c r="X319" s="272"/>
      <c r="Y319" s="276"/>
      <c r="Z319" s="276"/>
      <c r="AA319" s="606"/>
      <c r="AB319" s="181"/>
      <c r="AC319" s="117"/>
      <c r="AD319" s="106"/>
      <c r="AE319" s="106"/>
      <c r="AF319" s="106"/>
    </row>
    <row r="320" spans="1:32" ht="21" customHeight="1" thickBot="1" x14ac:dyDescent="0.45">
      <c r="A320" s="106"/>
      <c r="B320" s="272"/>
      <c r="C320" s="272"/>
      <c r="D320" s="106"/>
      <c r="E320" s="475"/>
      <c r="F320" s="475"/>
      <c r="G320" s="272"/>
      <c r="H320" s="272"/>
      <c r="I320" s="272"/>
      <c r="J320" s="272"/>
      <c r="K320" s="272"/>
      <c r="L320" s="272"/>
      <c r="M320" s="272"/>
      <c r="N320" s="272"/>
      <c r="O320" s="272"/>
      <c r="P320" s="272"/>
      <c r="Q320" s="272"/>
      <c r="R320" s="272"/>
      <c r="S320" s="272"/>
      <c r="T320" s="272"/>
      <c r="U320" s="272"/>
      <c r="V320" s="272"/>
      <c r="W320" s="272"/>
      <c r="X320" s="272"/>
      <c r="Y320" s="276"/>
      <c r="Z320" s="276"/>
      <c r="AA320" s="606"/>
      <c r="AB320" s="181"/>
      <c r="AC320" s="117"/>
      <c r="AD320" s="106"/>
      <c r="AE320" s="106"/>
      <c r="AF320" s="106"/>
    </row>
    <row r="321" spans="1:32" ht="21" customHeight="1" thickBot="1" x14ac:dyDescent="0.45">
      <c r="A321" s="106"/>
      <c r="B321" s="272"/>
      <c r="C321" s="272"/>
      <c r="D321" s="106"/>
      <c r="E321" s="475"/>
      <c r="F321" s="475"/>
      <c r="G321" s="272"/>
      <c r="H321" s="272"/>
      <c r="I321" s="272"/>
      <c r="J321" s="272"/>
      <c r="K321" s="272"/>
      <c r="L321" s="272"/>
      <c r="M321" s="272"/>
      <c r="N321" s="272"/>
      <c r="O321" s="272"/>
      <c r="P321" s="272"/>
      <c r="Q321" s="272"/>
      <c r="R321" s="272"/>
      <c r="S321" s="272"/>
      <c r="T321" s="272"/>
      <c r="U321" s="272"/>
      <c r="V321" s="272"/>
      <c r="W321" s="272"/>
      <c r="X321" s="272"/>
      <c r="Y321" s="276"/>
      <c r="Z321" s="276"/>
      <c r="AA321" s="606"/>
      <c r="AB321" s="181"/>
      <c r="AC321" s="117"/>
      <c r="AD321" s="106"/>
      <c r="AE321" s="106"/>
      <c r="AF321" s="106"/>
    </row>
    <row r="322" spans="1:32" ht="21" customHeight="1" thickBot="1" x14ac:dyDescent="0.45">
      <c r="A322" s="106"/>
      <c r="B322" s="272"/>
      <c r="C322" s="272"/>
      <c r="D322" s="106"/>
      <c r="E322" s="475"/>
      <c r="F322" s="475"/>
      <c r="G322" s="272"/>
      <c r="H322" s="272"/>
      <c r="I322" s="272"/>
      <c r="J322" s="272"/>
      <c r="K322" s="272"/>
      <c r="L322" s="272"/>
      <c r="M322" s="272"/>
      <c r="N322" s="272"/>
      <c r="O322" s="272"/>
      <c r="P322" s="272"/>
      <c r="Q322" s="272"/>
      <c r="R322" s="272"/>
      <c r="S322" s="272"/>
      <c r="T322" s="272"/>
      <c r="U322" s="272"/>
      <c r="V322" s="272"/>
      <c r="W322" s="272"/>
      <c r="X322" s="272"/>
      <c r="Y322" s="276"/>
      <c r="Z322" s="276"/>
      <c r="AA322" s="606"/>
      <c r="AB322" s="181"/>
      <c r="AC322" s="117"/>
      <c r="AD322" s="106"/>
      <c r="AE322" s="106"/>
      <c r="AF322" s="106"/>
    </row>
    <row r="323" spans="1:32" ht="21" customHeight="1" thickBot="1" x14ac:dyDescent="0.45">
      <c r="A323" s="106"/>
      <c r="B323" s="272"/>
      <c r="C323" s="272"/>
      <c r="D323" s="106"/>
      <c r="E323" s="475"/>
      <c r="F323" s="475"/>
      <c r="G323" s="272"/>
      <c r="H323" s="272"/>
      <c r="I323" s="272"/>
      <c r="J323" s="272"/>
      <c r="K323" s="272"/>
      <c r="L323" s="272"/>
      <c r="M323" s="272"/>
      <c r="N323" s="272"/>
      <c r="O323" s="272"/>
      <c r="P323" s="272"/>
      <c r="Q323" s="272"/>
      <c r="R323" s="272"/>
      <c r="S323" s="272"/>
      <c r="T323" s="272"/>
      <c r="U323" s="272"/>
      <c r="V323" s="272"/>
      <c r="W323" s="272"/>
      <c r="X323" s="272"/>
      <c r="Y323" s="276"/>
      <c r="Z323" s="276"/>
      <c r="AA323" s="606"/>
      <c r="AB323" s="181"/>
      <c r="AC323" s="117"/>
      <c r="AD323" s="106"/>
      <c r="AE323" s="106"/>
      <c r="AF323" s="106"/>
    </row>
    <row r="324" spans="1:32" ht="21" customHeight="1" thickBot="1" x14ac:dyDescent="0.45">
      <c r="A324" s="106"/>
      <c r="B324" s="272"/>
      <c r="C324" s="272"/>
      <c r="D324" s="106"/>
      <c r="E324" s="475"/>
      <c r="F324" s="475"/>
      <c r="G324" s="272"/>
      <c r="H324" s="272"/>
      <c r="I324" s="272"/>
      <c r="J324" s="272"/>
      <c r="K324" s="272"/>
      <c r="L324" s="272"/>
      <c r="M324" s="272"/>
      <c r="N324" s="272"/>
      <c r="O324" s="272"/>
      <c r="P324" s="272"/>
      <c r="Q324" s="272"/>
      <c r="R324" s="272"/>
      <c r="S324" s="272"/>
      <c r="T324" s="272"/>
      <c r="U324" s="272"/>
      <c r="V324" s="272"/>
      <c r="W324" s="272"/>
      <c r="X324" s="272"/>
      <c r="Y324" s="276"/>
      <c r="Z324" s="276"/>
      <c r="AA324" s="606"/>
      <c r="AB324" s="181"/>
      <c r="AC324" s="117"/>
      <c r="AD324" s="106"/>
      <c r="AE324" s="106"/>
      <c r="AF324" s="106"/>
    </row>
    <row r="325" spans="1:32" ht="21" customHeight="1" thickBot="1" x14ac:dyDescent="0.45">
      <c r="A325" s="106"/>
      <c r="B325" s="272"/>
      <c r="C325" s="272"/>
      <c r="D325" s="106"/>
      <c r="E325" s="475"/>
      <c r="F325" s="475"/>
      <c r="G325" s="272"/>
      <c r="H325" s="272"/>
      <c r="I325" s="272"/>
      <c r="J325" s="272"/>
      <c r="K325" s="272"/>
      <c r="L325" s="272"/>
      <c r="M325" s="272"/>
      <c r="N325" s="272"/>
      <c r="O325" s="272"/>
      <c r="P325" s="272"/>
      <c r="Q325" s="272"/>
      <c r="R325" s="272"/>
      <c r="S325" s="272"/>
      <c r="T325" s="272"/>
      <c r="U325" s="272"/>
      <c r="V325" s="272"/>
      <c r="W325" s="272"/>
      <c r="X325" s="272"/>
      <c r="Y325" s="276"/>
      <c r="Z325" s="276"/>
      <c r="AA325" s="606"/>
      <c r="AB325" s="181"/>
      <c r="AC325" s="117"/>
      <c r="AD325" s="106"/>
      <c r="AE325" s="106"/>
      <c r="AF325" s="106"/>
    </row>
    <row r="326" spans="1:32" ht="21" customHeight="1" thickBot="1" x14ac:dyDescent="0.45">
      <c r="A326" s="106"/>
      <c r="B326" s="272"/>
      <c r="C326" s="272"/>
      <c r="D326" s="106"/>
      <c r="E326" s="475"/>
      <c r="F326" s="475"/>
      <c r="G326" s="272"/>
      <c r="H326" s="272"/>
      <c r="I326" s="272"/>
      <c r="J326" s="272"/>
      <c r="K326" s="272"/>
      <c r="L326" s="272"/>
      <c r="M326" s="272"/>
      <c r="N326" s="272"/>
      <c r="O326" s="272"/>
      <c r="P326" s="272"/>
      <c r="Q326" s="272"/>
      <c r="R326" s="272"/>
      <c r="S326" s="272"/>
      <c r="T326" s="272"/>
      <c r="U326" s="272"/>
      <c r="V326" s="272"/>
      <c r="W326" s="272"/>
      <c r="X326" s="272"/>
      <c r="Y326" s="276"/>
      <c r="Z326" s="276"/>
      <c r="AA326" s="606"/>
      <c r="AB326" s="181"/>
      <c r="AC326" s="117"/>
      <c r="AD326" s="106"/>
      <c r="AE326" s="106"/>
      <c r="AF326" s="106"/>
    </row>
    <row r="327" spans="1:32" ht="21" customHeight="1" thickBot="1" x14ac:dyDescent="0.45">
      <c r="A327" s="106"/>
      <c r="B327" s="272"/>
      <c r="C327" s="272"/>
      <c r="D327" s="106"/>
      <c r="E327" s="475"/>
      <c r="F327" s="475"/>
      <c r="G327" s="272"/>
      <c r="H327" s="272"/>
      <c r="I327" s="272"/>
      <c r="J327" s="272"/>
      <c r="K327" s="272"/>
      <c r="L327" s="272"/>
      <c r="M327" s="272"/>
      <c r="N327" s="272"/>
      <c r="O327" s="272"/>
      <c r="P327" s="272"/>
      <c r="Q327" s="272"/>
      <c r="R327" s="272"/>
      <c r="S327" s="272"/>
      <c r="T327" s="272"/>
      <c r="U327" s="272"/>
      <c r="V327" s="272"/>
      <c r="W327" s="272"/>
      <c r="X327" s="272"/>
      <c r="Y327" s="276"/>
      <c r="Z327" s="276"/>
      <c r="AA327" s="606"/>
      <c r="AB327" s="181"/>
      <c r="AC327" s="117"/>
      <c r="AD327" s="106"/>
      <c r="AE327" s="106"/>
      <c r="AF327" s="106"/>
    </row>
    <row r="328" spans="1:32" ht="21" customHeight="1" thickBot="1" x14ac:dyDescent="0.45">
      <c r="A328" s="106"/>
      <c r="B328" s="272"/>
      <c r="C328" s="272"/>
      <c r="D328" s="106"/>
      <c r="E328" s="475"/>
      <c r="F328" s="475"/>
      <c r="G328" s="272"/>
      <c r="H328" s="272"/>
      <c r="I328" s="272"/>
      <c r="J328" s="272"/>
      <c r="K328" s="272"/>
      <c r="L328" s="272"/>
      <c r="M328" s="272"/>
      <c r="N328" s="272"/>
      <c r="O328" s="272"/>
      <c r="P328" s="272"/>
      <c r="Q328" s="272"/>
      <c r="R328" s="272"/>
      <c r="S328" s="272"/>
      <c r="T328" s="272"/>
      <c r="U328" s="272"/>
      <c r="V328" s="272"/>
      <c r="W328" s="272"/>
      <c r="X328" s="272"/>
      <c r="Y328" s="276"/>
      <c r="Z328" s="276"/>
      <c r="AA328" s="606"/>
      <c r="AB328" s="181"/>
      <c r="AC328" s="117"/>
      <c r="AD328" s="106"/>
      <c r="AE328" s="106"/>
      <c r="AF328" s="106"/>
    </row>
    <row r="329" spans="1:32" ht="21" customHeight="1" thickBot="1" x14ac:dyDescent="0.45">
      <c r="A329" s="106"/>
      <c r="B329" s="272"/>
      <c r="C329" s="272"/>
      <c r="D329" s="106"/>
      <c r="E329" s="475"/>
      <c r="F329" s="475"/>
      <c r="G329" s="272"/>
      <c r="H329" s="272"/>
      <c r="I329" s="272"/>
      <c r="J329" s="272"/>
      <c r="K329" s="272"/>
      <c r="L329" s="272"/>
      <c r="M329" s="272"/>
      <c r="N329" s="272"/>
      <c r="O329" s="272"/>
      <c r="P329" s="272"/>
      <c r="Q329" s="272"/>
      <c r="R329" s="272"/>
      <c r="S329" s="272"/>
      <c r="T329" s="272"/>
      <c r="U329" s="272"/>
      <c r="V329" s="272"/>
      <c r="W329" s="272"/>
      <c r="X329" s="272"/>
      <c r="Y329" s="276"/>
      <c r="Z329" s="276"/>
      <c r="AA329" s="606"/>
      <c r="AB329" s="181"/>
      <c r="AC329" s="117"/>
      <c r="AD329" s="106"/>
      <c r="AE329" s="106"/>
      <c r="AF329" s="106"/>
    </row>
    <row r="330" spans="1:32" ht="21" customHeight="1" thickBot="1" x14ac:dyDescent="0.45">
      <c r="A330" s="106"/>
      <c r="B330" s="272"/>
      <c r="C330" s="272"/>
      <c r="D330" s="106"/>
      <c r="E330" s="475"/>
      <c r="F330" s="475"/>
      <c r="G330" s="272"/>
      <c r="H330" s="272"/>
      <c r="I330" s="272"/>
      <c r="J330" s="272"/>
      <c r="K330" s="272"/>
      <c r="L330" s="272"/>
      <c r="M330" s="272"/>
      <c r="N330" s="272"/>
      <c r="O330" s="272"/>
      <c r="P330" s="272"/>
      <c r="Q330" s="272"/>
      <c r="R330" s="272"/>
      <c r="S330" s="272"/>
      <c r="T330" s="272"/>
      <c r="U330" s="272"/>
      <c r="V330" s="272"/>
      <c r="W330" s="272"/>
      <c r="X330" s="272"/>
      <c r="Y330" s="276"/>
      <c r="Z330" s="276"/>
      <c r="AA330" s="606"/>
      <c r="AB330" s="181"/>
      <c r="AC330" s="117"/>
      <c r="AD330" s="106"/>
      <c r="AE330" s="106"/>
      <c r="AF330" s="106"/>
    </row>
    <row r="331" spans="1:32" ht="21" customHeight="1" thickBot="1" x14ac:dyDescent="0.45">
      <c r="A331" s="106"/>
      <c r="B331" s="272"/>
      <c r="C331" s="272"/>
      <c r="D331" s="106"/>
      <c r="E331" s="475"/>
      <c r="F331" s="475"/>
      <c r="G331" s="272"/>
      <c r="H331" s="272"/>
      <c r="I331" s="272"/>
      <c r="J331" s="272"/>
      <c r="K331" s="272"/>
      <c r="L331" s="272"/>
      <c r="M331" s="272"/>
      <c r="N331" s="272"/>
      <c r="O331" s="272"/>
      <c r="P331" s="272"/>
      <c r="Q331" s="272"/>
      <c r="R331" s="272"/>
      <c r="S331" s="272"/>
      <c r="T331" s="272"/>
      <c r="U331" s="272"/>
      <c r="V331" s="272"/>
      <c r="W331" s="272"/>
      <c r="X331" s="272"/>
      <c r="Y331" s="276"/>
      <c r="Z331" s="276"/>
      <c r="AA331" s="606"/>
      <c r="AB331" s="181"/>
      <c r="AC331" s="117"/>
      <c r="AD331" s="106"/>
      <c r="AE331" s="106"/>
      <c r="AF331" s="106"/>
    </row>
    <row r="332" spans="1:32" ht="21" customHeight="1" thickBot="1" x14ac:dyDescent="0.45">
      <c r="A332" s="106"/>
      <c r="B332" s="272"/>
      <c r="C332" s="272"/>
      <c r="D332" s="106"/>
      <c r="E332" s="475"/>
      <c r="F332" s="475"/>
      <c r="G332" s="272"/>
      <c r="H332" s="272"/>
      <c r="I332" s="272"/>
      <c r="J332" s="272"/>
      <c r="K332" s="272"/>
      <c r="L332" s="272"/>
      <c r="M332" s="272"/>
      <c r="N332" s="272"/>
      <c r="O332" s="272"/>
      <c r="P332" s="272"/>
      <c r="Q332" s="272"/>
      <c r="R332" s="272"/>
      <c r="S332" s="272"/>
      <c r="T332" s="272"/>
      <c r="U332" s="272"/>
      <c r="V332" s="272"/>
      <c r="W332" s="272"/>
      <c r="X332" s="272"/>
      <c r="Y332" s="276"/>
      <c r="Z332" s="276"/>
      <c r="AA332" s="606"/>
      <c r="AB332" s="181"/>
      <c r="AC332" s="117"/>
      <c r="AD332" s="106"/>
      <c r="AE332" s="106"/>
      <c r="AF332" s="106"/>
    </row>
    <row r="333" spans="1:32" ht="21" customHeight="1" thickBot="1" x14ac:dyDescent="0.45">
      <c r="A333" s="106"/>
      <c r="B333" s="272"/>
      <c r="C333" s="272"/>
      <c r="D333" s="106"/>
      <c r="E333" s="475"/>
      <c r="F333" s="475"/>
      <c r="G333" s="272"/>
      <c r="H333" s="272"/>
      <c r="I333" s="272"/>
      <c r="J333" s="272"/>
      <c r="K333" s="272"/>
      <c r="L333" s="272"/>
      <c r="M333" s="272"/>
      <c r="N333" s="272"/>
      <c r="O333" s="272"/>
      <c r="P333" s="272"/>
      <c r="Q333" s="272"/>
      <c r="R333" s="272"/>
      <c r="S333" s="272"/>
      <c r="T333" s="272"/>
      <c r="U333" s="272"/>
      <c r="V333" s="272"/>
      <c r="W333" s="272"/>
      <c r="X333" s="272"/>
      <c r="Y333" s="276"/>
      <c r="Z333" s="276"/>
      <c r="AA333" s="606"/>
      <c r="AB333" s="181"/>
      <c r="AC333" s="117"/>
      <c r="AD333" s="106"/>
      <c r="AE333" s="106"/>
      <c r="AF333" s="106"/>
    </row>
    <row r="334" spans="1:32" ht="21" customHeight="1" thickBot="1" x14ac:dyDescent="0.45">
      <c r="A334" s="106"/>
      <c r="B334" s="272"/>
      <c r="C334" s="272"/>
      <c r="D334" s="106"/>
      <c r="E334" s="475"/>
      <c r="F334" s="475"/>
      <c r="G334" s="272"/>
      <c r="H334" s="272"/>
      <c r="I334" s="272"/>
      <c r="J334" s="272"/>
      <c r="K334" s="272"/>
      <c r="L334" s="272"/>
      <c r="M334" s="272"/>
      <c r="N334" s="272"/>
      <c r="O334" s="272"/>
      <c r="P334" s="272"/>
      <c r="Q334" s="272"/>
      <c r="R334" s="272"/>
      <c r="S334" s="272"/>
      <c r="T334" s="272"/>
      <c r="U334" s="272"/>
      <c r="V334" s="272"/>
      <c r="W334" s="272"/>
      <c r="X334" s="272"/>
      <c r="Y334" s="276"/>
      <c r="Z334" s="276"/>
      <c r="AA334" s="606"/>
      <c r="AB334" s="181"/>
      <c r="AC334" s="117"/>
      <c r="AD334" s="106"/>
      <c r="AE334" s="106"/>
      <c r="AF334" s="106"/>
    </row>
    <row r="335" spans="1:32" ht="21" customHeight="1" thickBot="1" x14ac:dyDescent="0.45">
      <c r="A335" s="106"/>
      <c r="B335" s="272"/>
      <c r="C335" s="272"/>
      <c r="D335" s="106"/>
      <c r="E335" s="475"/>
      <c r="F335" s="475"/>
      <c r="G335" s="272"/>
      <c r="H335" s="272"/>
      <c r="I335" s="272"/>
      <c r="J335" s="272"/>
      <c r="K335" s="272"/>
      <c r="L335" s="272"/>
      <c r="M335" s="272"/>
      <c r="N335" s="272"/>
      <c r="O335" s="272"/>
      <c r="P335" s="272"/>
      <c r="Q335" s="272"/>
      <c r="R335" s="272"/>
      <c r="S335" s="272"/>
      <c r="T335" s="272"/>
      <c r="U335" s="272"/>
      <c r="V335" s="272"/>
      <c r="W335" s="272"/>
      <c r="X335" s="272"/>
      <c r="Y335" s="276"/>
      <c r="Z335" s="276"/>
      <c r="AA335" s="606"/>
      <c r="AB335" s="181"/>
      <c r="AC335" s="117"/>
      <c r="AD335" s="106"/>
      <c r="AE335" s="106"/>
      <c r="AF335" s="106"/>
    </row>
    <row r="336" spans="1:32" ht="21" customHeight="1" thickBot="1" x14ac:dyDescent="0.45">
      <c r="A336" s="106"/>
      <c r="B336" s="272"/>
      <c r="C336" s="272"/>
      <c r="D336" s="106"/>
      <c r="E336" s="475"/>
      <c r="F336" s="475"/>
      <c r="G336" s="272"/>
      <c r="H336" s="272"/>
      <c r="I336" s="272"/>
      <c r="J336" s="272"/>
      <c r="K336" s="272"/>
      <c r="L336" s="272"/>
      <c r="M336" s="272"/>
      <c r="N336" s="272"/>
      <c r="O336" s="272"/>
      <c r="P336" s="272"/>
      <c r="Q336" s="272"/>
      <c r="R336" s="272"/>
      <c r="S336" s="272"/>
      <c r="T336" s="272"/>
      <c r="U336" s="272"/>
      <c r="V336" s="272"/>
      <c r="W336" s="272"/>
      <c r="X336" s="272"/>
      <c r="Y336" s="276"/>
      <c r="Z336" s="276"/>
      <c r="AA336" s="606"/>
      <c r="AB336" s="181"/>
      <c r="AC336" s="117"/>
      <c r="AD336" s="106"/>
      <c r="AE336" s="106"/>
      <c r="AF336" s="106"/>
    </row>
    <row r="337" spans="1:32" ht="21" customHeight="1" thickBot="1" x14ac:dyDescent="0.45">
      <c r="A337" s="106"/>
      <c r="B337" s="272"/>
      <c r="C337" s="272"/>
      <c r="D337" s="106"/>
      <c r="E337" s="475"/>
      <c r="F337" s="475"/>
      <c r="G337" s="272"/>
      <c r="H337" s="272"/>
      <c r="I337" s="272"/>
      <c r="J337" s="272"/>
      <c r="K337" s="272"/>
      <c r="L337" s="272"/>
      <c r="M337" s="272"/>
      <c r="N337" s="272"/>
      <c r="O337" s="272"/>
      <c r="P337" s="272"/>
      <c r="Q337" s="272"/>
      <c r="R337" s="272"/>
      <c r="S337" s="272"/>
      <c r="T337" s="272"/>
      <c r="U337" s="272"/>
      <c r="V337" s="272"/>
      <c r="W337" s="272"/>
      <c r="X337" s="272"/>
      <c r="Y337" s="276"/>
      <c r="Z337" s="276"/>
      <c r="AA337" s="606"/>
      <c r="AB337" s="181"/>
      <c r="AC337" s="117"/>
      <c r="AD337" s="106"/>
      <c r="AE337" s="106"/>
      <c r="AF337" s="106"/>
    </row>
    <row r="338" spans="1:32" ht="21" customHeight="1" thickBot="1" x14ac:dyDescent="0.45">
      <c r="A338" s="106"/>
      <c r="B338" s="272"/>
      <c r="C338" s="272"/>
      <c r="D338" s="106"/>
      <c r="E338" s="475"/>
      <c r="F338" s="475"/>
      <c r="G338" s="272"/>
      <c r="H338" s="272"/>
      <c r="I338" s="272"/>
      <c r="J338" s="272"/>
      <c r="K338" s="272"/>
      <c r="L338" s="272"/>
      <c r="M338" s="272"/>
      <c r="N338" s="272"/>
      <c r="O338" s="272"/>
      <c r="P338" s="272"/>
      <c r="Q338" s="272"/>
      <c r="R338" s="272"/>
      <c r="S338" s="272"/>
      <c r="T338" s="272"/>
      <c r="U338" s="272"/>
      <c r="V338" s="272"/>
      <c r="W338" s="272"/>
      <c r="X338" s="272"/>
      <c r="Y338" s="276"/>
      <c r="Z338" s="276"/>
      <c r="AA338" s="606"/>
      <c r="AB338" s="181"/>
      <c r="AC338" s="117"/>
      <c r="AD338" s="106"/>
      <c r="AE338" s="106"/>
      <c r="AF338" s="106"/>
    </row>
    <row r="339" spans="1:32" ht="21" customHeight="1" thickBot="1" x14ac:dyDescent="0.45">
      <c r="A339" s="106"/>
      <c r="B339" s="272"/>
      <c r="C339" s="272"/>
      <c r="D339" s="106"/>
      <c r="E339" s="475"/>
      <c r="F339" s="475"/>
      <c r="G339" s="272"/>
      <c r="H339" s="272"/>
      <c r="I339" s="272"/>
      <c r="J339" s="272"/>
      <c r="K339" s="272"/>
      <c r="L339" s="272"/>
      <c r="M339" s="272"/>
      <c r="N339" s="272"/>
      <c r="O339" s="272"/>
      <c r="P339" s="272"/>
      <c r="Q339" s="272"/>
      <c r="R339" s="272"/>
      <c r="S339" s="272"/>
      <c r="T339" s="272"/>
      <c r="U339" s="272"/>
      <c r="V339" s="272"/>
      <c r="W339" s="272"/>
      <c r="X339" s="272"/>
      <c r="Y339" s="276"/>
      <c r="Z339" s="276"/>
      <c r="AA339" s="606"/>
      <c r="AB339" s="181"/>
      <c r="AC339" s="117"/>
      <c r="AD339" s="106"/>
      <c r="AE339" s="106"/>
      <c r="AF339" s="106"/>
    </row>
    <row r="340" spans="1:32" ht="21" customHeight="1" thickBot="1" x14ac:dyDescent="0.45">
      <c r="A340" s="106"/>
      <c r="B340" s="272"/>
      <c r="C340" s="272"/>
      <c r="D340" s="106"/>
      <c r="E340" s="475"/>
      <c r="F340" s="475"/>
      <c r="G340" s="272"/>
      <c r="H340" s="272"/>
      <c r="I340" s="272"/>
      <c r="J340" s="272"/>
      <c r="K340" s="272"/>
      <c r="L340" s="272"/>
      <c r="M340" s="272"/>
      <c r="N340" s="272"/>
      <c r="O340" s="272"/>
      <c r="P340" s="272"/>
      <c r="Q340" s="272"/>
      <c r="R340" s="272"/>
      <c r="S340" s="272"/>
      <c r="T340" s="272"/>
      <c r="U340" s="272"/>
      <c r="V340" s="272"/>
      <c r="W340" s="272"/>
      <c r="X340" s="272"/>
      <c r="Y340" s="276"/>
      <c r="Z340" s="276"/>
      <c r="AA340" s="606"/>
      <c r="AB340" s="181"/>
      <c r="AC340" s="117"/>
      <c r="AD340" s="106"/>
      <c r="AE340" s="106"/>
      <c r="AF340" s="106"/>
    </row>
    <row r="341" spans="1:32" ht="21" customHeight="1" thickBot="1" x14ac:dyDescent="0.45">
      <c r="A341" s="106"/>
      <c r="B341" s="272"/>
      <c r="C341" s="272"/>
      <c r="D341" s="106"/>
      <c r="E341" s="475"/>
      <c r="F341" s="475"/>
      <c r="G341" s="272"/>
      <c r="H341" s="272"/>
      <c r="I341" s="272"/>
      <c r="J341" s="272"/>
      <c r="K341" s="272"/>
      <c r="L341" s="272"/>
      <c r="M341" s="272"/>
      <c r="N341" s="272"/>
      <c r="O341" s="272"/>
      <c r="P341" s="272"/>
      <c r="Q341" s="272"/>
      <c r="R341" s="272"/>
      <c r="S341" s="272"/>
      <c r="T341" s="272"/>
      <c r="U341" s="272"/>
      <c r="V341" s="272"/>
      <c r="W341" s="272"/>
      <c r="X341" s="272"/>
      <c r="Y341" s="276"/>
      <c r="Z341" s="276"/>
      <c r="AA341" s="606"/>
      <c r="AB341" s="181"/>
      <c r="AC341" s="117"/>
      <c r="AD341" s="106"/>
      <c r="AE341" s="106"/>
      <c r="AF341" s="106"/>
    </row>
    <row r="342" spans="1:32" ht="21" customHeight="1" thickBot="1" x14ac:dyDescent="0.45">
      <c r="A342" s="106"/>
      <c r="B342" s="272"/>
      <c r="C342" s="272"/>
      <c r="D342" s="106"/>
      <c r="E342" s="475"/>
      <c r="F342" s="475"/>
      <c r="G342" s="272"/>
      <c r="H342" s="272"/>
      <c r="I342" s="272"/>
      <c r="J342" s="272"/>
      <c r="K342" s="272"/>
      <c r="L342" s="272"/>
      <c r="M342" s="272"/>
      <c r="N342" s="272"/>
      <c r="O342" s="272"/>
      <c r="P342" s="272"/>
      <c r="Q342" s="272"/>
      <c r="R342" s="272"/>
      <c r="S342" s="272"/>
      <c r="T342" s="272"/>
      <c r="U342" s="272"/>
      <c r="V342" s="272"/>
      <c r="W342" s="272"/>
      <c r="X342" s="272"/>
      <c r="Y342" s="276"/>
      <c r="Z342" s="276"/>
      <c r="AA342" s="606"/>
      <c r="AB342" s="181"/>
      <c r="AC342" s="117"/>
      <c r="AD342" s="106"/>
      <c r="AE342" s="106"/>
      <c r="AF342" s="106"/>
    </row>
    <row r="343" spans="1:32" ht="21" customHeight="1" thickBot="1" x14ac:dyDescent="0.45">
      <c r="A343" s="106"/>
      <c r="B343" s="272"/>
      <c r="C343" s="272"/>
      <c r="D343" s="106"/>
      <c r="E343" s="475"/>
      <c r="F343" s="475"/>
      <c r="G343" s="272"/>
      <c r="H343" s="272"/>
      <c r="I343" s="272"/>
      <c r="J343" s="272"/>
      <c r="K343" s="272"/>
      <c r="L343" s="272"/>
      <c r="M343" s="272"/>
      <c r="N343" s="272"/>
      <c r="O343" s="272"/>
      <c r="P343" s="272"/>
      <c r="Q343" s="272"/>
      <c r="R343" s="272"/>
      <c r="S343" s="272"/>
      <c r="T343" s="272"/>
      <c r="U343" s="272"/>
      <c r="V343" s="272"/>
      <c r="W343" s="272"/>
      <c r="X343" s="272"/>
      <c r="Y343" s="276"/>
      <c r="Z343" s="276"/>
      <c r="AA343" s="606"/>
      <c r="AB343" s="181"/>
      <c r="AC343" s="117"/>
      <c r="AD343" s="106"/>
      <c r="AE343" s="106"/>
      <c r="AF343" s="106"/>
    </row>
    <row r="344" spans="1:32" ht="21" customHeight="1" thickBot="1" x14ac:dyDescent="0.45">
      <c r="A344" s="106"/>
      <c r="B344" s="272"/>
      <c r="C344" s="272"/>
      <c r="D344" s="106"/>
      <c r="E344" s="475"/>
      <c r="F344" s="475"/>
      <c r="G344" s="272"/>
      <c r="H344" s="272"/>
      <c r="I344" s="272"/>
      <c r="J344" s="272"/>
      <c r="K344" s="272"/>
      <c r="L344" s="272"/>
      <c r="M344" s="272"/>
      <c r="N344" s="272"/>
      <c r="O344" s="272"/>
      <c r="P344" s="272"/>
      <c r="Q344" s="272"/>
      <c r="R344" s="272"/>
      <c r="S344" s="272"/>
      <c r="T344" s="272"/>
      <c r="U344" s="272"/>
      <c r="V344" s="272"/>
      <c r="W344" s="272"/>
      <c r="X344" s="272"/>
      <c r="Y344" s="276"/>
      <c r="Z344" s="276"/>
      <c r="AA344" s="606"/>
      <c r="AB344" s="181"/>
      <c r="AC344" s="117"/>
      <c r="AD344" s="106"/>
      <c r="AE344" s="106"/>
      <c r="AF344" s="106"/>
    </row>
    <row r="345" spans="1:32" ht="21" customHeight="1" thickBot="1" x14ac:dyDescent="0.45">
      <c r="A345" s="106"/>
      <c r="B345" s="272"/>
      <c r="C345" s="272"/>
      <c r="D345" s="106"/>
      <c r="E345" s="475"/>
      <c r="F345" s="475"/>
      <c r="G345" s="272"/>
      <c r="H345" s="272"/>
      <c r="I345" s="272"/>
      <c r="J345" s="272"/>
      <c r="K345" s="272"/>
      <c r="L345" s="272"/>
      <c r="M345" s="272"/>
      <c r="N345" s="272"/>
      <c r="O345" s="272"/>
      <c r="P345" s="272"/>
      <c r="Q345" s="272"/>
      <c r="R345" s="272"/>
      <c r="S345" s="272"/>
      <c r="T345" s="272"/>
      <c r="U345" s="272"/>
      <c r="V345" s="272"/>
      <c r="W345" s="272"/>
      <c r="X345" s="272"/>
      <c r="Y345" s="276"/>
      <c r="Z345" s="276"/>
      <c r="AA345" s="606"/>
      <c r="AB345" s="181"/>
      <c r="AC345" s="117"/>
      <c r="AD345" s="106"/>
      <c r="AE345" s="106"/>
      <c r="AF345" s="106"/>
    </row>
    <row r="346" spans="1:32" ht="21" customHeight="1" thickBot="1" x14ac:dyDescent="0.45">
      <c r="A346" s="106"/>
      <c r="B346" s="272"/>
      <c r="C346" s="272"/>
      <c r="D346" s="106"/>
      <c r="E346" s="475"/>
      <c r="F346" s="475"/>
      <c r="G346" s="272"/>
      <c r="H346" s="272"/>
      <c r="I346" s="272"/>
      <c r="J346" s="272"/>
      <c r="K346" s="272"/>
      <c r="L346" s="272"/>
      <c r="M346" s="272"/>
      <c r="N346" s="272"/>
      <c r="O346" s="272"/>
      <c r="P346" s="272"/>
      <c r="Q346" s="272"/>
      <c r="R346" s="272"/>
      <c r="S346" s="272"/>
      <c r="T346" s="272"/>
      <c r="U346" s="272"/>
      <c r="V346" s="272"/>
      <c r="W346" s="272"/>
      <c r="X346" s="272"/>
      <c r="Y346" s="276"/>
      <c r="Z346" s="276"/>
      <c r="AA346" s="606"/>
      <c r="AB346" s="181"/>
      <c r="AC346" s="117"/>
      <c r="AD346" s="106"/>
      <c r="AE346" s="106"/>
      <c r="AF346" s="106"/>
    </row>
    <row r="347" spans="1:32" ht="21" customHeight="1" thickBot="1" x14ac:dyDescent="0.45">
      <c r="A347" s="106"/>
      <c r="B347" s="272"/>
      <c r="C347" s="272"/>
      <c r="D347" s="106"/>
      <c r="E347" s="475"/>
      <c r="F347" s="475"/>
      <c r="G347" s="272"/>
      <c r="H347" s="272"/>
      <c r="I347" s="272"/>
      <c r="J347" s="272"/>
      <c r="K347" s="272"/>
      <c r="L347" s="272"/>
      <c r="M347" s="272"/>
      <c r="N347" s="272"/>
      <c r="O347" s="272"/>
      <c r="P347" s="272"/>
      <c r="Q347" s="272"/>
      <c r="R347" s="272"/>
      <c r="S347" s="272"/>
      <c r="T347" s="272"/>
      <c r="U347" s="272"/>
      <c r="V347" s="272"/>
      <c r="W347" s="272"/>
      <c r="X347" s="272"/>
      <c r="Y347" s="276"/>
      <c r="Z347" s="276"/>
      <c r="AA347" s="606"/>
      <c r="AB347" s="181"/>
      <c r="AC347" s="117"/>
      <c r="AD347" s="106"/>
      <c r="AE347" s="106"/>
      <c r="AF347" s="106"/>
    </row>
    <row r="348" spans="1:32" ht="21" customHeight="1" thickBot="1" x14ac:dyDescent="0.45">
      <c r="A348" s="106"/>
      <c r="B348" s="272"/>
      <c r="C348" s="272"/>
      <c r="D348" s="106"/>
      <c r="E348" s="475"/>
      <c r="F348" s="475"/>
      <c r="G348" s="272"/>
      <c r="H348" s="272"/>
      <c r="I348" s="272"/>
      <c r="J348" s="272"/>
      <c r="K348" s="272"/>
      <c r="L348" s="272"/>
      <c r="M348" s="272"/>
      <c r="N348" s="272"/>
      <c r="O348" s="272"/>
      <c r="P348" s="272"/>
      <c r="Q348" s="272"/>
      <c r="R348" s="272"/>
      <c r="S348" s="272"/>
      <c r="T348" s="272"/>
      <c r="U348" s="272"/>
      <c r="V348" s="272"/>
      <c r="W348" s="272"/>
      <c r="X348" s="272"/>
      <c r="Y348" s="276"/>
      <c r="Z348" s="276"/>
      <c r="AA348" s="606"/>
      <c r="AB348" s="181"/>
      <c r="AC348" s="117"/>
      <c r="AD348" s="106"/>
      <c r="AE348" s="106"/>
      <c r="AF348" s="106"/>
    </row>
    <row r="349" spans="1:32" ht="21" customHeight="1" thickBot="1" x14ac:dyDescent="0.45">
      <c r="A349" s="106"/>
      <c r="B349" s="272"/>
      <c r="C349" s="272"/>
      <c r="D349" s="106"/>
      <c r="E349" s="475"/>
      <c r="F349" s="475"/>
      <c r="G349" s="272"/>
      <c r="H349" s="272"/>
      <c r="I349" s="272"/>
      <c r="J349" s="272"/>
      <c r="K349" s="272"/>
      <c r="L349" s="272"/>
      <c r="M349" s="272"/>
      <c r="N349" s="272"/>
      <c r="O349" s="272"/>
      <c r="P349" s="272"/>
      <c r="Q349" s="272"/>
      <c r="R349" s="272"/>
      <c r="S349" s="272"/>
      <c r="T349" s="272"/>
      <c r="U349" s="272"/>
      <c r="V349" s="272"/>
      <c r="W349" s="272"/>
      <c r="X349" s="272"/>
      <c r="Y349" s="276"/>
      <c r="Z349" s="276"/>
      <c r="AA349" s="606"/>
      <c r="AB349" s="181"/>
      <c r="AC349" s="117"/>
      <c r="AD349" s="106"/>
      <c r="AE349" s="106"/>
      <c r="AF349" s="106"/>
    </row>
    <row r="350" spans="1:32" ht="21" customHeight="1" thickBot="1" x14ac:dyDescent="0.45">
      <c r="A350" s="106"/>
      <c r="B350" s="272"/>
      <c r="C350" s="272"/>
      <c r="D350" s="106"/>
      <c r="E350" s="475"/>
      <c r="F350" s="475"/>
      <c r="G350" s="272"/>
      <c r="H350" s="272"/>
      <c r="I350" s="272"/>
      <c r="J350" s="272"/>
      <c r="K350" s="272"/>
      <c r="L350" s="272"/>
      <c r="M350" s="272"/>
      <c r="N350" s="272"/>
      <c r="O350" s="272"/>
      <c r="P350" s="272"/>
      <c r="Q350" s="272"/>
      <c r="R350" s="272"/>
      <c r="S350" s="272"/>
      <c r="T350" s="272"/>
      <c r="U350" s="272"/>
      <c r="V350" s="272"/>
      <c r="W350" s="272"/>
      <c r="X350" s="272"/>
      <c r="Y350" s="276"/>
      <c r="Z350" s="276"/>
      <c r="AA350" s="606"/>
      <c r="AB350" s="181"/>
      <c r="AC350" s="117"/>
      <c r="AD350" s="106"/>
      <c r="AE350" s="106"/>
      <c r="AF350" s="106"/>
    </row>
    <row r="351" spans="1:32" ht="21" customHeight="1" thickBot="1" x14ac:dyDescent="0.45">
      <c r="A351" s="106"/>
      <c r="B351" s="272"/>
      <c r="C351" s="272"/>
      <c r="D351" s="106"/>
      <c r="E351" s="475"/>
      <c r="F351" s="475"/>
      <c r="G351" s="272"/>
      <c r="H351" s="272"/>
      <c r="I351" s="272"/>
      <c r="J351" s="272"/>
      <c r="K351" s="272"/>
      <c r="L351" s="272"/>
      <c r="M351" s="272"/>
      <c r="N351" s="272"/>
      <c r="O351" s="272"/>
      <c r="P351" s="272"/>
      <c r="Q351" s="272"/>
      <c r="R351" s="272"/>
      <c r="S351" s="272"/>
      <c r="T351" s="272"/>
      <c r="U351" s="272"/>
      <c r="V351" s="272"/>
      <c r="W351" s="272"/>
      <c r="X351" s="272"/>
      <c r="Y351" s="276"/>
      <c r="Z351" s="276"/>
      <c r="AA351" s="606"/>
      <c r="AB351" s="181"/>
      <c r="AC351" s="117"/>
      <c r="AD351" s="106"/>
      <c r="AE351" s="106"/>
      <c r="AF351" s="106"/>
    </row>
    <row r="352" spans="1:32" ht="21" customHeight="1" thickBot="1" x14ac:dyDescent="0.45">
      <c r="A352" s="106"/>
      <c r="B352" s="272"/>
      <c r="C352" s="272"/>
      <c r="D352" s="106"/>
      <c r="E352" s="475"/>
      <c r="F352" s="475"/>
      <c r="G352" s="272"/>
      <c r="H352" s="272"/>
      <c r="I352" s="272"/>
      <c r="J352" s="272"/>
      <c r="K352" s="272"/>
      <c r="L352" s="272"/>
      <c r="M352" s="272"/>
      <c r="N352" s="272"/>
      <c r="O352" s="272"/>
      <c r="P352" s="272"/>
      <c r="Q352" s="272"/>
      <c r="R352" s="272"/>
      <c r="S352" s="272"/>
      <c r="T352" s="272"/>
      <c r="U352" s="272"/>
      <c r="V352" s="272"/>
      <c r="W352" s="272"/>
      <c r="X352" s="272"/>
      <c r="Y352" s="276"/>
      <c r="Z352" s="276"/>
      <c r="AA352" s="606"/>
      <c r="AB352" s="181"/>
      <c r="AC352" s="117"/>
      <c r="AD352" s="106"/>
      <c r="AE352" s="106"/>
      <c r="AF352" s="106"/>
    </row>
    <row r="353" spans="1:32" ht="21" customHeight="1" thickBot="1" x14ac:dyDescent="0.45">
      <c r="A353" s="106"/>
      <c r="B353" s="272"/>
      <c r="C353" s="272"/>
      <c r="D353" s="106"/>
      <c r="E353" s="475"/>
      <c r="F353" s="475"/>
      <c r="G353" s="272"/>
      <c r="H353" s="272"/>
      <c r="I353" s="272"/>
      <c r="J353" s="272"/>
      <c r="K353" s="272"/>
      <c r="L353" s="272"/>
      <c r="M353" s="272"/>
      <c r="N353" s="272"/>
      <c r="O353" s="272"/>
      <c r="P353" s="272"/>
      <c r="Q353" s="272"/>
      <c r="R353" s="272"/>
      <c r="S353" s="272"/>
      <c r="T353" s="272"/>
      <c r="U353" s="272"/>
      <c r="V353" s="272"/>
      <c r="W353" s="272"/>
      <c r="X353" s="272"/>
      <c r="Y353" s="276"/>
      <c r="Z353" s="276"/>
      <c r="AA353" s="606"/>
      <c r="AB353" s="181"/>
      <c r="AC353" s="117"/>
      <c r="AD353" s="106"/>
      <c r="AE353" s="106"/>
      <c r="AF353" s="106"/>
    </row>
    <row r="354" spans="1:32" ht="21" customHeight="1" thickBot="1" x14ac:dyDescent="0.45">
      <c r="A354" s="106"/>
      <c r="B354" s="272"/>
      <c r="C354" s="272"/>
      <c r="D354" s="106"/>
      <c r="E354" s="475"/>
      <c r="F354" s="475"/>
      <c r="G354" s="272"/>
      <c r="H354" s="272"/>
      <c r="I354" s="272"/>
      <c r="J354" s="272"/>
      <c r="K354" s="272"/>
      <c r="L354" s="272"/>
      <c r="M354" s="272"/>
      <c r="N354" s="272"/>
      <c r="O354" s="272"/>
      <c r="P354" s="272"/>
      <c r="Q354" s="272"/>
      <c r="R354" s="272"/>
      <c r="S354" s="272"/>
      <c r="T354" s="272"/>
      <c r="U354" s="272"/>
      <c r="V354" s="272"/>
      <c r="W354" s="272"/>
      <c r="X354" s="272"/>
      <c r="Y354" s="276"/>
      <c r="Z354" s="276"/>
      <c r="AA354" s="606"/>
      <c r="AB354" s="181"/>
      <c r="AC354" s="117"/>
      <c r="AD354" s="106"/>
      <c r="AE354" s="106"/>
      <c r="AF354" s="106"/>
    </row>
    <row r="355" spans="1:32" ht="21" customHeight="1" thickBot="1" x14ac:dyDescent="0.45">
      <c r="A355" s="106"/>
      <c r="B355" s="272"/>
      <c r="C355" s="272"/>
      <c r="D355" s="106"/>
      <c r="E355" s="475"/>
      <c r="F355" s="475"/>
      <c r="G355" s="272"/>
      <c r="H355" s="272"/>
      <c r="I355" s="272"/>
      <c r="J355" s="272"/>
      <c r="K355" s="272"/>
      <c r="L355" s="272"/>
      <c r="M355" s="272"/>
      <c r="N355" s="272"/>
      <c r="O355" s="272"/>
      <c r="P355" s="272"/>
      <c r="Q355" s="272"/>
      <c r="R355" s="272"/>
      <c r="S355" s="272"/>
      <c r="T355" s="272"/>
      <c r="U355" s="272"/>
      <c r="V355" s="272"/>
      <c r="W355" s="272"/>
      <c r="X355" s="272"/>
      <c r="Y355" s="276"/>
      <c r="Z355" s="276"/>
      <c r="AA355" s="606"/>
      <c r="AB355" s="181"/>
      <c r="AC355" s="117"/>
      <c r="AD355" s="106"/>
      <c r="AE355" s="106"/>
      <c r="AF355" s="106"/>
    </row>
    <row r="356" spans="1:32" ht="21" customHeight="1" thickBot="1" x14ac:dyDescent="0.45">
      <c r="A356" s="106"/>
      <c r="B356" s="272"/>
      <c r="C356" s="272"/>
      <c r="D356" s="106"/>
      <c r="E356" s="475"/>
      <c r="F356" s="475"/>
      <c r="G356" s="272"/>
      <c r="H356" s="272"/>
      <c r="I356" s="272"/>
      <c r="J356" s="272"/>
      <c r="K356" s="272"/>
      <c r="L356" s="272"/>
      <c r="M356" s="272"/>
      <c r="N356" s="272"/>
      <c r="O356" s="272"/>
      <c r="P356" s="272"/>
      <c r="Q356" s="272"/>
      <c r="R356" s="272"/>
      <c r="S356" s="272"/>
      <c r="T356" s="272"/>
      <c r="U356" s="272"/>
      <c r="V356" s="272"/>
      <c r="W356" s="272"/>
      <c r="X356" s="272"/>
      <c r="Y356" s="276"/>
      <c r="Z356" s="276"/>
      <c r="AA356" s="606"/>
      <c r="AB356" s="181"/>
      <c r="AC356" s="117"/>
      <c r="AD356" s="106"/>
      <c r="AE356" s="106"/>
      <c r="AF356" s="106"/>
    </row>
    <row r="357" spans="1:32" ht="21" customHeight="1" thickBot="1" x14ac:dyDescent="0.45">
      <c r="A357" s="106"/>
      <c r="B357" s="272"/>
      <c r="C357" s="272"/>
      <c r="D357" s="106"/>
      <c r="E357" s="475"/>
      <c r="F357" s="475"/>
      <c r="G357" s="272"/>
      <c r="H357" s="272"/>
      <c r="I357" s="272"/>
      <c r="J357" s="272"/>
      <c r="K357" s="272"/>
      <c r="L357" s="272"/>
      <c r="M357" s="272"/>
      <c r="N357" s="272"/>
      <c r="O357" s="272"/>
      <c r="P357" s="272"/>
      <c r="Q357" s="272"/>
      <c r="R357" s="272"/>
      <c r="S357" s="272"/>
      <c r="T357" s="272"/>
      <c r="U357" s="272"/>
      <c r="V357" s="272"/>
      <c r="W357" s="272"/>
      <c r="X357" s="272"/>
      <c r="Y357" s="276"/>
      <c r="Z357" s="276"/>
      <c r="AA357" s="606"/>
      <c r="AB357" s="181"/>
      <c r="AC357" s="117"/>
      <c r="AD357" s="106"/>
      <c r="AE357" s="106"/>
      <c r="AF357" s="106"/>
    </row>
    <row r="358" spans="1:32" ht="21" customHeight="1" thickBot="1" x14ac:dyDescent="0.45">
      <c r="A358" s="106"/>
      <c r="B358" s="272"/>
      <c r="C358" s="272"/>
      <c r="D358" s="106"/>
      <c r="E358" s="475"/>
      <c r="F358" s="475"/>
      <c r="G358" s="272"/>
      <c r="H358" s="272"/>
      <c r="I358" s="272"/>
      <c r="J358" s="272"/>
      <c r="K358" s="272"/>
      <c r="L358" s="272"/>
      <c r="M358" s="272"/>
      <c r="N358" s="272"/>
      <c r="O358" s="272"/>
      <c r="P358" s="272"/>
      <c r="Q358" s="272"/>
      <c r="R358" s="272"/>
      <c r="S358" s="272"/>
      <c r="T358" s="272"/>
      <c r="U358" s="272"/>
      <c r="V358" s="272"/>
      <c r="W358" s="272"/>
      <c r="X358" s="272"/>
      <c r="Y358" s="276"/>
      <c r="Z358" s="276"/>
      <c r="AA358" s="606"/>
      <c r="AB358" s="181"/>
      <c r="AC358" s="117"/>
      <c r="AD358" s="106"/>
      <c r="AE358" s="106"/>
      <c r="AF358" s="106"/>
    </row>
    <row r="359" spans="1:32" ht="21" customHeight="1" thickBot="1" x14ac:dyDescent="0.45">
      <c r="A359" s="106"/>
      <c r="B359" s="272"/>
      <c r="C359" s="272"/>
      <c r="D359" s="106"/>
      <c r="E359" s="475"/>
      <c r="F359" s="475"/>
      <c r="G359" s="272"/>
      <c r="H359" s="272"/>
      <c r="I359" s="272"/>
      <c r="J359" s="272"/>
      <c r="K359" s="272"/>
      <c r="L359" s="272"/>
      <c r="M359" s="272"/>
      <c r="N359" s="272"/>
      <c r="O359" s="272"/>
      <c r="P359" s="272"/>
      <c r="Q359" s="272"/>
      <c r="R359" s="272"/>
      <c r="S359" s="272"/>
      <c r="T359" s="272"/>
      <c r="U359" s="272"/>
      <c r="V359" s="272"/>
      <c r="W359" s="272"/>
      <c r="X359" s="272"/>
      <c r="Y359" s="276"/>
      <c r="Z359" s="276"/>
      <c r="AA359" s="606"/>
      <c r="AB359" s="181"/>
      <c r="AC359" s="117"/>
      <c r="AD359" s="106"/>
      <c r="AE359" s="106"/>
      <c r="AF359" s="106"/>
    </row>
    <row r="360" spans="1:32" ht="21" customHeight="1" thickBot="1" x14ac:dyDescent="0.45">
      <c r="A360" s="106"/>
      <c r="B360" s="272"/>
      <c r="C360" s="272"/>
      <c r="D360" s="106"/>
      <c r="E360" s="475"/>
      <c r="F360" s="475"/>
      <c r="G360" s="272"/>
      <c r="H360" s="272"/>
      <c r="I360" s="272"/>
      <c r="J360" s="272"/>
      <c r="K360" s="272"/>
      <c r="L360" s="272"/>
      <c r="M360" s="272"/>
      <c r="N360" s="272"/>
      <c r="O360" s="272"/>
      <c r="P360" s="272"/>
      <c r="Q360" s="272"/>
      <c r="R360" s="272"/>
      <c r="S360" s="272"/>
      <c r="T360" s="272"/>
      <c r="U360" s="272"/>
      <c r="V360" s="272"/>
      <c r="W360" s="272"/>
      <c r="X360" s="272"/>
      <c r="Y360" s="276"/>
      <c r="Z360" s="276"/>
      <c r="AA360" s="606"/>
      <c r="AB360" s="181"/>
      <c r="AC360" s="117"/>
      <c r="AD360" s="106"/>
      <c r="AE360" s="106"/>
      <c r="AF360" s="106"/>
    </row>
    <row r="361" spans="1:32" ht="21" customHeight="1" thickBot="1" x14ac:dyDescent="0.45">
      <c r="A361" s="106"/>
      <c r="B361" s="272"/>
      <c r="C361" s="272"/>
      <c r="D361" s="106"/>
      <c r="E361" s="475"/>
      <c r="F361" s="475"/>
      <c r="G361" s="272"/>
      <c r="H361" s="272"/>
      <c r="I361" s="272"/>
      <c r="J361" s="272"/>
      <c r="K361" s="272"/>
      <c r="L361" s="272"/>
      <c r="M361" s="272"/>
      <c r="N361" s="272"/>
      <c r="O361" s="272"/>
      <c r="P361" s="272"/>
      <c r="Q361" s="272"/>
      <c r="R361" s="272"/>
      <c r="S361" s="272"/>
      <c r="T361" s="272"/>
      <c r="U361" s="272"/>
      <c r="V361" s="272"/>
      <c r="W361" s="272"/>
      <c r="X361" s="272"/>
      <c r="Y361" s="276"/>
      <c r="Z361" s="276"/>
      <c r="AA361" s="606"/>
      <c r="AB361" s="181"/>
      <c r="AC361" s="117"/>
      <c r="AD361" s="106"/>
      <c r="AE361" s="106"/>
      <c r="AF361" s="106"/>
    </row>
    <row r="362" spans="1:32" ht="21" customHeight="1" thickBot="1" x14ac:dyDescent="0.45">
      <c r="A362" s="106"/>
      <c r="B362" s="272"/>
      <c r="C362" s="272"/>
      <c r="D362" s="106"/>
      <c r="E362" s="475"/>
      <c r="F362" s="475"/>
      <c r="G362" s="272"/>
      <c r="H362" s="272"/>
      <c r="I362" s="272"/>
      <c r="J362" s="272"/>
      <c r="K362" s="272"/>
      <c r="L362" s="272"/>
      <c r="M362" s="272"/>
      <c r="N362" s="272"/>
      <c r="O362" s="272"/>
      <c r="P362" s="272"/>
      <c r="Q362" s="272"/>
      <c r="R362" s="272"/>
      <c r="S362" s="272"/>
      <c r="T362" s="272"/>
      <c r="U362" s="272"/>
      <c r="V362" s="272"/>
      <c r="W362" s="272"/>
      <c r="X362" s="272"/>
      <c r="Y362" s="276"/>
      <c r="Z362" s="276"/>
      <c r="AA362" s="606"/>
      <c r="AB362" s="181"/>
      <c r="AC362" s="117"/>
      <c r="AD362" s="106"/>
      <c r="AE362" s="106"/>
      <c r="AF362" s="106"/>
    </row>
    <row r="363" spans="1:32" ht="21" customHeight="1" thickBot="1" x14ac:dyDescent="0.45">
      <c r="A363" s="106"/>
      <c r="B363" s="272"/>
      <c r="C363" s="272"/>
      <c r="D363" s="106"/>
      <c r="E363" s="475"/>
      <c r="F363" s="475"/>
      <c r="G363" s="272"/>
      <c r="H363" s="272"/>
      <c r="I363" s="272"/>
      <c r="J363" s="272"/>
      <c r="K363" s="272"/>
      <c r="L363" s="272"/>
      <c r="M363" s="272"/>
      <c r="N363" s="272"/>
      <c r="O363" s="272"/>
      <c r="P363" s="272"/>
      <c r="Q363" s="272"/>
      <c r="R363" s="272"/>
      <c r="S363" s="272"/>
      <c r="T363" s="272"/>
      <c r="U363" s="272"/>
      <c r="V363" s="272"/>
      <c r="W363" s="272"/>
      <c r="X363" s="272"/>
      <c r="Y363" s="276"/>
      <c r="Z363" s="276"/>
      <c r="AA363" s="606"/>
      <c r="AB363" s="181"/>
      <c r="AC363" s="117"/>
      <c r="AD363" s="106"/>
      <c r="AE363" s="106"/>
      <c r="AF363" s="106"/>
    </row>
    <row r="364" spans="1:32" ht="21" customHeight="1" thickBot="1" x14ac:dyDescent="0.45">
      <c r="A364" s="106"/>
      <c r="B364" s="272"/>
      <c r="C364" s="272"/>
      <c r="D364" s="106"/>
      <c r="E364" s="475"/>
      <c r="F364" s="475"/>
      <c r="G364" s="272"/>
      <c r="H364" s="272"/>
      <c r="I364" s="272"/>
      <c r="J364" s="272"/>
      <c r="K364" s="272"/>
      <c r="L364" s="272"/>
      <c r="M364" s="272"/>
      <c r="N364" s="272"/>
      <c r="O364" s="272"/>
      <c r="P364" s="272"/>
      <c r="Q364" s="272"/>
      <c r="R364" s="272"/>
      <c r="S364" s="272"/>
      <c r="T364" s="272"/>
      <c r="U364" s="272"/>
      <c r="V364" s="272"/>
      <c r="W364" s="272"/>
      <c r="X364" s="272"/>
      <c r="Y364" s="276"/>
      <c r="Z364" s="276"/>
      <c r="AA364" s="606"/>
      <c r="AB364" s="181"/>
      <c r="AC364" s="117"/>
      <c r="AD364" s="106"/>
      <c r="AE364" s="106"/>
      <c r="AF364" s="106"/>
    </row>
    <row r="365" spans="1:32" ht="21" customHeight="1" thickBot="1" x14ac:dyDescent="0.45">
      <c r="A365" s="106"/>
      <c r="B365" s="272"/>
      <c r="C365" s="272"/>
      <c r="D365" s="106"/>
      <c r="E365" s="475"/>
      <c r="F365" s="475"/>
      <c r="G365" s="272"/>
      <c r="H365" s="272"/>
      <c r="I365" s="272"/>
      <c r="J365" s="272"/>
      <c r="K365" s="272"/>
      <c r="L365" s="272"/>
      <c r="M365" s="272"/>
      <c r="N365" s="272"/>
      <c r="O365" s="272"/>
      <c r="P365" s="272"/>
      <c r="Q365" s="272"/>
      <c r="R365" s="272"/>
      <c r="S365" s="272"/>
      <c r="T365" s="272"/>
      <c r="U365" s="272"/>
      <c r="V365" s="272"/>
      <c r="W365" s="272"/>
      <c r="X365" s="272"/>
      <c r="Y365" s="276"/>
      <c r="Z365" s="276"/>
      <c r="AA365" s="606"/>
      <c r="AB365" s="181"/>
      <c r="AC365" s="117"/>
      <c r="AD365" s="106"/>
      <c r="AE365" s="106"/>
      <c r="AF365" s="106"/>
    </row>
    <row r="366" spans="1:32" ht="21" customHeight="1" thickBot="1" x14ac:dyDescent="0.45">
      <c r="A366" s="106"/>
      <c r="B366" s="272"/>
      <c r="C366" s="272"/>
      <c r="D366" s="106"/>
      <c r="E366" s="475"/>
      <c r="F366" s="475"/>
      <c r="G366" s="272"/>
      <c r="H366" s="272"/>
      <c r="I366" s="272"/>
      <c r="J366" s="272"/>
      <c r="K366" s="272"/>
      <c r="L366" s="272"/>
      <c r="M366" s="272"/>
      <c r="N366" s="272"/>
      <c r="O366" s="272"/>
      <c r="P366" s="272"/>
      <c r="Q366" s="272"/>
      <c r="R366" s="272"/>
      <c r="S366" s="272"/>
      <c r="T366" s="272"/>
      <c r="U366" s="272"/>
      <c r="V366" s="272"/>
      <c r="W366" s="272"/>
      <c r="X366" s="272"/>
      <c r="Y366" s="276"/>
      <c r="Z366" s="276"/>
      <c r="AA366" s="606"/>
      <c r="AB366" s="181"/>
      <c r="AC366" s="117"/>
      <c r="AD366" s="106"/>
      <c r="AE366" s="106"/>
      <c r="AF366" s="106"/>
    </row>
    <row r="367" spans="1:32" ht="21" customHeight="1" thickBot="1" x14ac:dyDescent="0.45">
      <c r="A367" s="106"/>
      <c r="B367" s="272"/>
      <c r="C367" s="272"/>
      <c r="D367" s="106"/>
      <c r="E367" s="475"/>
      <c r="F367" s="475"/>
      <c r="G367" s="272"/>
      <c r="H367" s="272"/>
      <c r="I367" s="272"/>
      <c r="J367" s="272"/>
      <c r="K367" s="272"/>
      <c r="L367" s="272"/>
      <c r="M367" s="272"/>
      <c r="N367" s="272"/>
      <c r="O367" s="272"/>
      <c r="P367" s="272"/>
      <c r="Q367" s="272"/>
      <c r="R367" s="272"/>
      <c r="S367" s="272"/>
      <c r="T367" s="272"/>
      <c r="U367" s="272"/>
      <c r="V367" s="272"/>
      <c r="W367" s="272"/>
      <c r="X367" s="272"/>
      <c r="Y367" s="276"/>
      <c r="Z367" s="276"/>
      <c r="AA367" s="606"/>
      <c r="AB367" s="181"/>
      <c r="AC367" s="117"/>
      <c r="AD367" s="106"/>
      <c r="AE367" s="106"/>
      <c r="AF367" s="106"/>
    </row>
    <row r="368" spans="1:32" ht="21" customHeight="1" thickBot="1" x14ac:dyDescent="0.45">
      <c r="A368" s="106"/>
      <c r="B368" s="272"/>
      <c r="C368" s="272"/>
      <c r="D368" s="106"/>
      <c r="E368" s="475"/>
      <c r="F368" s="475"/>
      <c r="G368" s="272"/>
      <c r="H368" s="272"/>
      <c r="I368" s="272"/>
      <c r="J368" s="272"/>
      <c r="K368" s="272"/>
      <c r="L368" s="272"/>
      <c r="M368" s="272"/>
      <c r="N368" s="272"/>
      <c r="O368" s="272"/>
      <c r="P368" s="272"/>
      <c r="Q368" s="272"/>
      <c r="R368" s="272"/>
      <c r="S368" s="272"/>
      <c r="T368" s="272"/>
      <c r="U368" s="272"/>
      <c r="V368" s="272"/>
      <c r="W368" s="272"/>
      <c r="X368" s="272"/>
      <c r="Y368" s="276"/>
      <c r="Z368" s="276"/>
      <c r="AA368" s="606"/>
      <c r="AB368" s="181"/>
      <c r="AC368" s="117"/>
      <c r="AD368" s="106"/>
      <c r="AE368" s="106"/>
      <c r="AF368" s="106"/>
    </row>
    <row r="369" spans="1:32" ht="21" customHeight="1" thickBot="1" x14ac:dyDescent="0.45">
      <c r="A369" s="106"/>
      <c r="B369" s="272"/>
      <c r="C369" s="272"/>
      <c r="D369" s="106"/>
      <c r="E369" s="475"/>
      <c r="F369" s="475"/>
      <c r="G369" s="272"/>
      <c r="H369" s="272"/>
      <c r="I369" s="272"/>
      <c r="J369" s="272"/>
      <c r="K369" s="272"/>
      <c r="L369" s="272"/>
      <c r="M369" s="272"/>
      <c r="N369" s="272"/>
      <c r="O369" s="272"/>
      <c r="P369" s="272"/>
      <c r="Q369" s="272"/>
      <c r="R369" s="272"/>
      <c r="S369" s="272"/>
      <c r="T369" s="272"/>
      <c r="U369" s="272"/>
      <c r="V369" s="272"/>
      <c r="W369" s="272"/>
      <c r="X369" s="272"/>
      <c r="Y369" s="276"/>
      <c r="Z369" s="276"/>
      <c r="AA369" s="606"/>
      <c r="AB369" s="181"/>
      <c r="AC369" s="117"/>
      <c r="AD369" s="106"/>
      <c r="AE369" s="106"/>
      <c r="AF369" s="106"/>
    </row>
    <row r="370" spans="1:32" ht="21" customHeight="1" thickBot="1" x14ac:dyDescent="0.45">
      <c r="A370" s="106"/>
      <c r="B370" s="272"/>
      <c r="C370" s="272"/>
      <c r="D370" s="106"/>
      <c r="E370" s="475"/>
      <c r="F370" s="475"/>
      <c r="G370" s="272"/>
      <c r="H370" s="272"/>
      <c r="I370" s="272"/>
      <c r="J370" s="272"/>
      <c r="K370" s="272"/>
      <c r="L370" s="272"/>
      <c r="M370" s="272"/>
      <c r="N370" s="272"/>
      <c r="O370" s="272"/>
      <c r="P370" s="272"/>
      <c r="Q370" s="272"/>
      <c r="R370" s="272"/>
      <c r="S370" s="272"/>
      <c r="T370" s="272"/>
      <c r="U370" s="272"/>
      <c r="V370" s="272"/>
      <c r="W370" s="272"/>
      <c r="X370" s="272"/>
      <c r="Y370" s="276"/>
      <c r="Z370" s="276"/>
      <c r="AA370" s="606"/>
      <c r="AB370" s="181"/>
      <c r="AC370" s="117"/>
      <c r="AD370" s="106"/>
      <c r="AE370" s="106"/>
      <c r="AF370" s="106"/>
    </row>
    <row r="371" spans="1:32" ht="21" customHeight="1" thickBot="1" x14ac:dyDescent="0.45">
      <c r="A371" s="106"/>
      <c r="B371" s="272"/>
      <c r="C371" s="272"/>
      <c r="D371" s="106"/>
      <c r="E371" s="475"/>
      <c r="F371" s="475"/>
      <c r="G371" s="272"/>
      <c r="H371" s="272"/>
      <c r="I371" s="272"/>
      <c r="J371" s="272"/>
      <c r="K371" s="272"/>
      <c r="L371" s="272"/>
      <c r="M371" s="272"/>
      <c r="N371" s="272"/>
      <c r="O371" s="272"/>
      <c r="P371" s="272"/>
      <c r="Q371" s="272"/>
      <c r="R371" s="272"/>
      <c r="S371" s="272"/>
      <c r="T371" s="272"/>
      <c r="U371" s="272"/>
      <c r="V371" s="272"/>
      <c r="W371" s="272"/>
      <c r="X371" s="272"/>
      <c r="Y371" s="276"/>
      <c r="Z371" s="276"/>
      <c r="AA371" s="606"/>
      <c r="AB371" s="181"/>
      <c r="AC371" s="117"/>
      <c r="AD371" s="106"/>
      <c r="AE371" s="106"/>
      <c r="AF371" s="106"/>
    </row>
    <row r="372" spans="1:32" ht="21" customHeight="1" thickBot="1" x14ac:dyDescent="0.45">
      <c r="A372" s="106"/>
      <c r="B372" s="272"/>
      <c r="C372" s="272"/>
      <c r="D372" s="106"/>
      <c r="E372" s="475"/>
      <c r="F372" s="475"/>
      <c r="G372" s="272"/>
      <c r="H372" s="272"/>
      <c r="I372" s="272"/>
      <c r="J372" s="272"/>
      <c r="K372" s="272"/>
      <c r="L372" s="272"/>
      <c r="M372" s="272"/>
      <c r="N372" s="272"/>
      <c r="O372" s="272"/>
      <c r="P372" s="272"/>
      <c r="Q372" s="272"/>
      <c r="R372" s="272"/>
      <c r="S372" s="272"/>
      <c r="T372" s="272"/>
      <c r="U372" s="272"/>
      <c r="V372" s="272"/>
      <c r="W372" s="272"/>
      <c r="X372" s="272"/>
      <c r="Y372" s="276"/>
      <c r="Z372" s="276"/>
      <c r="AA372" s="606"/>
      <c r="AB372" s="181"/>
      <c r="AC372" s="117"/>
      <c r="AD372" s="106"/>
      <c r="AE372" s="106"/>
      <c r="AF372" s="106"/>
    </row>
    <row r="373" spans="1:32" ht="21" customHeight="1" thickBot="1" x14ac:dyDescent="0.45">
      <c r="A373" s="106"/>
      <c r="B373" s="272"/>
      <c r="C373" s="272"/>
      <c r="D373" s="106"/>
      <c r="E373" s="475"/>
      <c r="F373" s="475"/>
      <c r="G373" s="272"/>
      <c r="H373" s="272"/>
      <c r="I373" s="272"/>
      <c r="J373" s="272"/>
      <c r="K373" s="272"/>
      <c r="L373" s="272"/>
      <c r="M373" s="272"/>
      <c r="N373" s="272"/>
      <c r="O373" s="272"/>
      <c r="P373" s="272"/>
      <c r="Q373" s="272"/>
      <c r="R373" s="272"/>
      <c r="S373" s="272"/>
      <c r="T373" s="272"/>
      <c r="U373" s="272"/>
      <c r="V373" s="272"/>
      <c r="W373" s="272"/>
      <c r="X373" s="272"/>
      <c r="Y373" s="276"/>
      <c r="Z373" s="276"/>
      <c r="AA373" s="606"/>
      <c r="AB373" s="181"/>
      <c r="AC373" s="117"/>
      <c r="AD373" s="106"/>
      <c r="AE373" s="106"/>
      <c r="AF373" s="106"/>
    </row>
    <row r="374" spans="1:32" ht="21" customHeight="1" thickBot="1" x14ac:dyDescent="0.45">
      <c r="A374" s="106"/>
      <c r="B374" s="272"/>
      <c r="C374" s="272"/>
      <c r="D374" s="106"/>
      <c r="E374" s="475"/>
      <c r="F374" s="475"/>
      <c r="G374" s="272"/>
      <c r="H374" s="272"/>
      <c r="I374" s="272"/>
      <c r="J374" s="272"/>
      <c r="K374" s="272"/>
      <c r="L374" s="272"/>
      <c r="M374" s="272"/>
      <c r="N374" s="272"/>
      <c r="O374" s="272"/>
      <c r="P374" s="272"/>
      <c r="Q374" s="272"/>
      <c r="R374" s="272"/>
      <c r="S374" s="272"/>
      <c r="T374" s="272"/>
      <c r="U374" s="272"/>
      <c r="V374" s="272"/>
      <c r="W374" s="272"/>
      <c r="X374" s="272"/>
      <c r="Y374" s="276"/>
      <c r="Z374" s="276"/>
      <c r="AA374" s="606"/>
      <c r="AB374" s="181"/>
      <c r="AC374" s="117"/>
      <c r="AD374" s="106"/>
      <c r="AE374" s="106"/>
      <c r="AF374" s="106"/>
    </row>
    <row r="375" spans="1:32" ht="21" customHeight="1" thickBot="1" x14ac:dyDescent="0.45">
      <c r="A375" s="106"/>
      <c r="B375" s="272"/>
      <c r="C375" s="272"/>
      <c r="D375" s="106"/>
      <c r="E375" s="475"/>
      <c r="F375" s="475"/>
      <c r="G375" s="272"/>
      <c r="H375" s="272"/>
      <c r="I375" s="272"/>
      <c r="J375" s="272"/>
      <c r="K375" s="272"/>
      <c r="L375" s="272"/>
      <c r="M375" s="272"/>
      <c r="N375" s="272"/>
      <c r="O375" s="272"/>
      <c r="P375" s="272"/>
      <c r="Q375" s="272"/>
      <c r="R375" s="272"/>
      <c r="S375" s="272"/>
      <c r="T375" s="272"/>
      <c r="U375" s="272"/>
      <c r="V375" s="272"/>
      <c r="W375" s="272"/>
      <c r="X375" s="272"/>
      <c r="Y375" s="276"/>
      <c r="Z375" s="276"/>
      <c r="AA375" s="606"/>
      <c r="AB375" s="181"/>
      <c r="AC375" s="117"/>
      <c r="AD375" s="106"/>
      <c r="AE375" s="106"/>
      <c r="AF375" s="106"/>
    </row>
    <row r="376" spans="1:32" ht="21" customHeight="1" thickBot="1" x14ac:dyDescent="0.45">
      <c r="A376" s="106"/>
      <c r="B376" s="272"/>
      <c r="C376" s="272"/>
      <c r="D376" s="106"/>
      <c r="E376" s="475"/>
      <c r="F376" s="475"/>
      <c r="G376" s="272"/>
      <c r="H376" s="272"/>
      <c r="I376" s="272"/>
      <c r="J376" s="272"/>
      <c r="K376" s="272"/>
      <c r="L376" s="272"/>
      <c r="M376" s="272"/>
      <c r="N376" s="272"/>
      <c r="O376" s="272"/>
      <c r="P376" s="272"/>
      <c r="Q376" s="272"/>
      <c r="R376" s="272"/>
      <c r="S376" s="272"/>
      <c r="T376" s="272"/>
      <c r="U376" s="272"/>
      <c r="V376" s="272"/>
      <c r="W376" s="272"/>
      <c r="X376" s="272"/>
      <c r="Y376" s="276"/>
      <c r="Z376" s="276"/>
      <c r="AA376" s="606"/>
      <c r="AB376" s="181"/>
      <c r="AC376" s="117"/>
      <c r="AD376" s="106"/>
      <c r="AE376" s="106"/>
      <c r="AF376" s="106"/>
    </row>
    <row r="377" spans="1:32" ht="21" customHeight="1" thickBot="1" x14ac:dyDescent="0.45">
      <c r="A377" s="106"/>
      <c r="B377" s="272"/>
      <c r="C377" s="272"/>
      <c r="D377" s="106"/>
      <c r="E377" s="475"/>
      <c r="F377" s="475"/>
      <c r="G377" s="272"/>
      <c r="H377" s="272"/>
      <c r="I377" s="272"/>
      <c r="J377" s="272"/>
      <c r="K377" s="272"/>
      <c r="L377" s="272"/>
      <c r="M377" s="272"/>
      <c r="N377" s="272"/>
      <c r="O377" s="272"/>
      <c r="P377" s="272"/>
      <c r="Q377" s="272"/>
      <c r="R377" s="272"/>
      <c r="S377" s="272"/>
      <c r="T377" s="272"/>
      <c r="U377" s="272"/>
      <c r="V377" s="272"/>
      <c r="W377" s="272"/>
      <c r="X377" s="272"/>
      <c r="Y377" s="276"/>
      <c r="Z377" s="276"/>
      <c r="AA377" s="606"/>
      <c r="AB377" s="181"/>
      <c r="AC377" s="117"/>
      <c r="AD377" s="106"/>
      <c r="AE377" s="106"/>
      <c r="AF377" s="106"/>
    </row>
    <row r="378" spans="1:32" ht="21" customHeight="1" thickBot="1" x14ac:dyDescent="0.45">
      <c r="A378" s="106"/>
      <c r="B378" s="272"/>
      <c r="C378" s="272"/>
      <c r="D378" s="106"/>
      <c r="E378" s="475"/>
      <c r="F378" s="475"/>
      <c r="G378" s="272"/>
      <c r="H378" s="272"/>
      <c r="I378" s="272"/>
      <c r="J378" s="272"/>
      <c r="K378" s="272"/>
      <c r="L378" s="272"/>
      <c r="M378" s="272"/>
      <c r="N378" s="272"/>
      <c r="O378" s="272"/>
      <c r="P378" s="272"/>
      <c r="Q378" s="272"/>
      <c r="R378" s="272"/>
      <c r="S378" s="272"/>
      <c r="T378" s="272"/>
      <c r="U378" s="272"/>
      <c r="V378" s="272"/>
      <c r="W378" s="272"/>
      <c r="X378" s="272"/>
      <c r="Y378" s="276"/>
      <c r="Z378" s="276"/>
      <c r="AA378" s="606"/>
      <c r="AB378" s="181"/>
      <c r="AC378" s="117"/>
      <c r="AD378" s="106"/>
      <c r="AE378" s="106"/>
      <c r="AF378" s="106"/>
    </row>
    <row r="379" spans="1:32" ht="21" customHeight="1" thickBot="1" x14ac:dyDescent="0.45">
      <c r="A379" s="106"/>
      <c r="B379" s="272"/>
      <c r="C379" s="272"/>
      <c r="D379" s="106"/>
      <c r="E379" s="475"/>
      <c r="F379" s="475"/>
      <c r="G379" s="272"/>
      <c r="H379" s="272"/>
      <c r="I379" s="272"/>
      <c r="J379" s="272"/>
      <c r="K379" s="272"/>
      <c r="L379" s="272"/>
      <c r="M379" s="272"/>
      <c r="N379" s="272"/>
      <c r="O379" s="272"/>
      <c r="P379" s="272"/>
      <c r="Q379" s="272"/>
      <c r="R379" s="272"/>
      <c r="S379" s="272"/>
      <c r="T379" s="272"/>
      <c r="U379" s="272"/>
      <c r="V379" s="272"/>
      <c r="W379" s="272"/>
      <c r="X379" s="272"/>
      <c r="Y379" s="276"/>
      <c r="Z379" s="276"/>
      <c r="AA379" s="606"/>
      <c r="AB379" s="181"/>
      <c r="AC379" s="117"/>
      <c r="AD379" s="106"/>
      <c r="AE379" s="106"/>
      <c r="AF379" s="106"/>
    </row>
    <row r="380" spans="1:32" ht="21" customHeight="1" thickBot="1" x14ac:dyDescent="0.45">
      <c r="A380" s="106"/>
      <c r="B380" s="272"/>
      <c r="C380" s="272"/>
      <c r="D380" s="106"/>
      <c r="E380" s="475"/>
      <c r="F380" s="475"/>
      <c r="G380" s="272"/>
      <c r="H380" s="272"/>
      <c r="I380" s="272"/>
      <c r="J380" s="272"/>
      <c r="K380" s="272"/>
      <c r="L380" s="272"/>
      <c r="M380" s="272"/>
      <c r="N380" s="272"/>
      <c r="O380" s="272"/>
      <c r="P380" s="272"/>
      <c r="Q380" s="272"/>
      <c r="R380" s="272"/>
      <c r="S380" s="272"/>
      <c r="T380" s="272"/>
      <c r="U380" s="272"/>
      <c r="V380" s="272"/>
      <c r="W380" s="272"/>
      <c r="X380" s="272"/>
      <c r="Y380" s="276"/>
      <c r="Z380" s="276"/>
      <c r="AA380" s="606"/>
      <c r="AB380" s="181"/>
      <c r="AC380" s="117"/>
      <c r="AD380" s="106"/>
      <c r="AE380" s="106"/>
      <c r="AF380" s="106"/>
    </row>
    <row r="381" spans="1:32" ht="21" customHeight="1" thickBot="1" x14ac:dyDescent="0.45">
      <c r="A381" s="106"/>
      <c r="B381" s="272"/>
      <c r="C381" s="272"/>
      <c r="D381" s="106"/>
      <c r="E381" s="475"/>
      <c r="F381" s="475"/>
      <c r="G381" s="272"/>
      <c r="H381" s="272"/>
      <c r="I381" s="272"/>
      <c r="J381" s="272"/>
      <c r="K381" s="272"/>
      <c r="L381" s="272"/>
      <c r="M381" s="272"/>
      <c r="N381" s="272"/>
      <c r="O381" s="272"/>
      <c r="P381" s="272"/>
      <c r="Q381" s="272"/>
      <c r="R381" s="272"/>
      <c r="S381" s="272"/>
      <c r="T381" s="272"/>
      <c r="U381" s="272"/>
      <c r="V381" s="272"/>
      <c r="W381" s="272"/>
      <c r="X381" s="272"/>
      <c r="Y381" s="276"/>
      <c r="Z381" s="276"/>
      <c r="AA381" s="606"/>
      <c r="AB381" s="181"/>
      <c r="AC381" s="117"/>
      <c r="AD381" s="106"/>
      <c r="AE381" s="106"/>
      <c r="AF381" s="106"/>
    </row>
    <row r="382" spans="1:32" ht="21" customHeight="1" thickBot="1" x14ac:dyDescent="0.45">
      <c r="A382" s="106"/>
      <c r="B382" s="272"/>
      <c r="C382" s="272"/>
      <c r="D382" s="106"/>
      <c r="E382" s="475"/>
      <c r="F382" s="475"/>
      <c r="G382" s="272"/>
      <c r="H382" s="272"/>
      <c r="I382" s="272"/>
      <c r="J382" s="272"/>
      <c r="K382" s="272"/>
      <c r="L382" s="272"/>
      <c r="M382" s="272"/>
      <c r="N382" s="272"/>
      <c r="O382" s="272"/>
      <c r="P382" s="272"/>
      <c r="Q382" s="272"/>
      <c r="R382" s="272"/>
      <c r="S382" s="272"/>
      <c r="T382" s="272"/>
      <c r="U382" s="272"/>
      <c r="V382" s="272"/>
      <c r="W382" s="272"/>
      <c r="X382" s="272"/>
      <c r="Y382" s="276"/>
      <c r="Z382" s="276"/>
      <c r="AA382" s="606"/>
      <c r="AB382" s="181"/>
      <c r="AC382" s="117"/>
      <c r="AD382" s="106"/>
      <c r="AE382" s="106"/>
      <c r="AF382" s="106"/>
    </row>
    <row r="383" spans="1:32" ht="21" customHeight="1" thickBot="1" x14ac:dyDescent="0.45">
      <c r="A383" s="106"/>
      <c r="B383" s="272"/>
      <c r="C383" s="272"/>
      <c r="D383" s="106"/>
      <c r="E383" s="475"/>
      <c r="F383" s="475"/>
      <c r="G383" s="272"/>
      <c r="H383" s="272"/>
      <c r="I383" s="272"/>
      <c r="J383" s="272"/>
      <c r="K383" s="272"/>
      <c r="L383" s="272"/>
      <c r="M383" s="272"/>
      <c r="N383" s="272"/>
      <c r="O383" s="272"/>
      <c r="P383" s="272"/>
      <c r="Q383" s="272"/>
      <c r="R383" s="272"/>
      <c r="S383" s="272"/>
      <c r="T383" s="272"/>
      <c r="U383" s="272"/>
      <c r="V383" s="272"/>
      <c r="W383" s="272"/>
      <c r="X383" s="272"/>
      <c r="Y383" s="276"/>
      <c r="Z383" s="276"/>
      <c r="AA383" s="606"/>
      <c r="AB383" s="181"/>
      <c r="AC383" s="117"/>
      <c r="AD383" s="106"/>
      <c r="AE383" s="106"/>
      <c r="AF383" s="106"/>
    </row>
    <row r="384" spans="1:32" ht="21" customHeight="1" thickBot="1" x14ac:dyDescent="0.45">
      <c r="A384" s="106"/>
      <c r="B384" s="272"/>
      <c r="C384" s="272"/>
      <c r="D384" s="106"/>
      <c r="E384" s="475"/>
      <c r="F384" s="475"/>
      <c r="G384" s="272"/>
      <c r="H384" s="272"/>
      <c r="I384" s="272"/>
      <c r="J384" s="272"/>
      <c r="K384" s="272"/>
      <c r="L384" s="272"/>
      <c r="M384" s="272"/>
      <c r="N384" s="272"/>
      <c r="O384" s="272"/>
      <c r="P384" s="272"/>
      <c r="Q384" s="272"/>
      <c r="R384" s="272"/>
      <c r="S384" s="272"/>
      <c r="T384" s="272"/>
      <c r="U384" s="272"/>
      <c r="V384" s="272"/>
      <c r="W384" s="272"/>
      <c r="X384" s="272"/>
      <c r="Y384" s="276"/>
      <c r="Z384" s="276"/>
      <c r="AA384" s="606"/>
      <c r="AB384" s="181"/>
      <c r="AC384" s="117"/>
      <c r="AD384" s="106"/>
      <c r="AE384" s="106"/>
      <c r="AF384" s="106"/>
    </row>
    <row r="385" spans="1:32" ht="21" customHeight="1" thickBot="1" x14ac:dyDescent="0.45">
      <c r="A385" s="106"/>
      <c r="B385" s="272"/>
      <c r="C385" s="272"/>
      <c r="D385" s="106"/>
      <c r="E385" s="475"/>
      <c r="F385" s="475"/>
      <c r="G385" s="272"/>
      <c r="H385" s="272"/>
      <c r="I385" s="272"/>
      <c r="J385" s="272"/>
      <c r="K385" s="272"/>
      <c r="L385" s="272"/>
      <c r="M385" s="272"/>
      <c r="N385" s="272"/>
      <c r="O385" s="272"/>
      <c r="P385" s="272"/>
      <c r="Q385" s="272"/>
      <c r="R385" s="272"/>
      <c r="S385" s="272"/>
      <c r="T385" s="272"/>
      <c r="U385" s="272"/>
      <c r="V385" s="272"/>
      <c r="W385" s="272"/>
      <c r="X385" s="272"/>
      <c r="Y385" s="276"/>
      <c r="Z385" s="276"/>
      <c r="AA385" s="606"/>
      <c r="AB385" s="181"/>
      <c r="AC385" s="117"/>
      <c r="AD385" s="106"/>
      <c r="AE385" s="106"/>
      <c r="AF385" s="106"/>
    </row>
    <row r="386" spans="1:32" ht="21" customHeight="1" thickBot="1" x14ac:dyDescent="0.45">
      <c r="A386" s="106"/>
      <c r="B386" s="272"/>
      <c r="C386" s="272"/>
      <c r="D386" s="106"/>
      <c r="E386" s="475"/>
      <c r="F386" s="475"/>
      <c r="G386" s="272"/>
      <c r="H386" s="272"/>
      <c r="I386" s="272"/>
      <c r="J386" s="272"/>
      <c r="K386" s="272"/>
      <c r="L386" s="272"/>
      <c r="M386" s="272"/>
      <c r="N386" s="272"/>
      <c r="O386" s="272"/>
      <c r="P386" s="272"/>
      <c r="Q386" s="272"/>
      <c r="R386" s="272"/>
      <c r="S386" s="272"/>
      <c r="T386" s="272"/>
      <c r="U386" s="272"/>
      <c r="V386" s="272"/>
      <c r="W386" s="272"/>
      <c r="X386" s="272"/>
      <c r="Y386" s="276"/>
      <c r="Z386" s="276"/>
      <c r="AA386" s="606"/>
      <c r="AB386" s="181"/>
      <c r="AC386" s="117"/>
      <c r="AD386" s="106"/>
      <c r="AE386" s="106"/>
      <c r="AF386" s="106"/>
    </row>
    <row r="387" spans="1:32" ht="21" customHeight="1" thickBot="1" x14ac:dyDescent="0.45">
      <c r="A387" s="106"/>
      <c r="B387" s="272"/>
      <c r="C387" s="272"/>
      <c r="D387" s="106"/>
      <c r="E387" s="475"/>
      <c r="F387" s="475"/>
      <c r="G387" s="272"/>
      <c r="H387" s="272"/>
      <c r="I387" s="272"/>
      <c r="J387" s="272"/>
      <c r="K387" s="272"/>
      <c r="L387" s="272"/>
      <c r="M387" s="272"/>
      <c r="N387" s="272"/>
      <c r="O387" s="272"/>
      <c r="P387" s="272"/>
      <c r="Q387" s="272"/>
      <c r="R387" s="272"/>
      <c r="S387" s="272"/>
      <c r="T387" s="272"/>
      <c r="U387" s="272"/>
      <c r="V387" s="272"/>
      <c r="W387" s="272"/>
      <c r="X387" s="272"/>
      <c r="Y387" s="276"/>
      <c r="Z387" s="276"/>
      <c r="AA387" s="606"/>
      <c r="AB387" s="181"/>
      <c r="AC387" s="117"/>
      <c r="AD387" s="106"/>
      <c r="AE387" s="106"/>
      <c r="AF387" s="106"/>
    </row>
    <row r="388" spans="1:32" ht="21" customHeight="1" thickBot="1" x14ac:dyDescent="0.45">
      <c r="A388" s="106"/>
      <c r="B388" s="272"/>
      <c r="C388" s="272"/>
      <c r="D388" s="106"/>
      <c r="E388" s="475"/>
      <c r="F388" s="475"/>
      <c r="G388" s="272"/>
      <c r="H388" s="272"/>
      <c r="I388" s="272"/>
      <c r="J388" s="272"/>
      <c r="K388" s="272"/>
      <c r="L388" s="272"/>
      <c r="M388" s="272"/>
      <c r="N388" s="272"/>
      <c r="O388" s="272"/>
      <c r="P388" s="272"/>
      <c r="Q388" s="272"/>
      <c r="R388" s="272"/>
      <c r="S388" s="272"/>
      <c r="T388" s="272"/>
      <c r="U388" s="272"/>
      <c r="V388" s="272"/>
      <c r="W388" s="272"/>
      <c r="X388" s="272"/>
      <c r="Y388" s="276"/>
      <c r="Z388" s="276"/>
      <c r="AA388" s="606"/>
      <c r="AB388" s="181"/>
      <c r="AC388" s="117"/>
      <c r="AD388" s="106"/>
      <c r="AE388" s="106"/>
      <c r="AF388" s="106"/>
    </row>
    <row r="389" spans="1:32" ht="21" customHeight="1" thickBot="1" x14ac:dyDescent="0.45">
      <c r="A389" s="106"/>
      <c r="B389" s="272"/>
      <c r="C389" s="272"/>
      <c r="D389" s="106"/>
      <c r="E389" s="475"/>
      <c r="F389" s="475"/>
      <c r="G389" s="272"/>
      <c r="H389" s="272"/>
      <c r="I389" s="272"/>
      <c r="J389" s="272"/>
      <c r="K389" s="272"/>
      <c r="L389" s="272"/>
      <c r="M389" s="272"/>
      <c r="N389" s="272"/>
      <c r="O389" s="272"/>
      <c r="P389" s="272"/>
      <c r="Q389" s="272"/>
      <c r="R389" s="272"/>
      <c r="S389" s="272"/>
      <c r="T389" s="272"/>
      <c r="U389" s="272"/>
      <c r="V389" s="272"/>
      <c r="W389" s="272"/>
      <c r="X389" s="272"/>
      <c r="Y389" s="276"/>
      <c r="Z389" s="276"/>
      <c r="AA389" s="606"/>
      <c r="AB389" s="181"/>
      <c r="AC389" s="117"/>
      <c r="AD389" s="106"/>
      <c r="AE389" s="106"/>
      <c r="AF389" s="106"/>
    </row>
    <row r="390" spans="1:32" ht="21" customHeight="1" thickBot="1" x14ac:dyDescent="0.45">
      <c r="A390" s="106"/>
      <c r="B390" s="272"/>
      <c r="C390" s="272"/>
      <c r="D390" s="106"/>
      <c r="E390" s="475"/>
      <c r="F390" s="475"/>
      <c r="G390" s="272"/>
      <c r="H390" s="272"/>
      <c r="I390" s="272"/>
      <c r="J390" s="272"/>
      <c r="K390" s="272"/>
      <c r="L390" s="272"/>
      <c r="M390" s="272"/>
      <c r="N390" s="272"/>
      <c r="O390" s="272"/>
      <c r="P390" s="272"/>
      <c r="Q390" s="272"/>
      <c r="R390" s="272"/>
      <c r="S390" s="272"/>
      <c r="T390" s="272"/>
      <c r="U390" s="272"/>
      <c r="V390" s="272"/>
      <c r="W390" s="272"/>
      <c r="X390" s="272"/>
      <c r="Y390" s="276"/>
      <c r="Z390" s="276"/>
      <c r="AA390" s="606"/>
      <c r="AB390" s="181"/>
      <c r="AC390" s="117"/>
      <c r="AD390" s="106"/>
      <c r="AE390" s="106"/>
      <c r="AF390" s="106"/>
    </row>
    <row r="391" spans="1:32" ht="21" customHeight="1" thickBot="1" x14ac:dyDescent="0.45">
      <c r="A391" s="106"/>
      <c r="B391" s="272"/>
      <c r="C391" s="272"/>
      <c r="D391" s="106"/>
      <c r="E391" s="475"/>
      <c r="F391" s="475"/>
      <c r="G391" s="272"/>
      <c r="H391" s="272"/>
      <c r="I391" s="272"/>
      <c r="J391" s="272"/>
      <c r="K391" s="272"/>
      <c r="L391" s="272"/>
      <c r="M391" s="272"/>
      <c r="N391" s="272"/>
      <c r="O391" s="272"/>
      <c r="P391" s="272"/>
      <c r="Q391" s="272"/>
      <c r="R391" s="272"/>
      <c r="S391" s="272"/>
      <c r="T391" s="272"/>
      <c r="U391" s="272"/>
      <c r="V391" s="272"/>
      <c r="W391" s="272"/>
      <c r="X391" s="272"/>
      <c r="Y391" s="276"/>
      <c r="Z391" s="276"/>
      <c r="AA391" s="606"/>
      <c r="AB391" s="181"/>
      <c r="AC391" s="117"/>
      <c r="AD391" s="106"/>
      <c r="AE391" s="106"/>
      <c r="AF391" s="106"/>
    </row>
    <row r="392" spans="1:32" ht="21" customHeight="1" thickBot="1" x14ac:dyDescent="0.45">
      <c r="A392" s="106"/>
      <c r="B392" s="272"/>
      <c r="C392" s="272"/>
      <c r="D392" s="106"/>
      <c r="E392" s="475"/>
      <c r="F392" s="475"/>
      <c r="G392" s="272"/>
      <c r="H392" s="272"/>
      <c r="I392" s="272"/>
      <c r="J392" s="272"/>
      <c r="K392" s="272"/>
      <c r="L392" s="272"/>
      <c r="M392" s="272"/>
      <c r="N392" s="272"/>
      <c r="O392" s="272"/>
      <c r="P392" s="272"/>
      <c r="Q392" s="272"/>
      <c r="R392" s="272"/>
      <c r="S392" s="272"/>
      <c r="T392" s="272"/>
      <c r="U392" s="272"/>
      <c r="V392" s="272"/>
      <c r="W392" s="272"/>
      <c r="X392" s="272"/>
      <c r="Y392" s="276"/>
      <c r="Z392" s="276"/>
      <c r="AA392" s="606"/>
      <c r="AB392" s="181"/>
      <c r="AC392" s="117"/>
      <c r="AD392" s="106"/>
      <c r="AE392" s="106"/>
      <c r="AF392" s="106"/>
    </row>
    <row r="393" spans="1:32" ht="21" customHeight="1" thickBot="1" x14ac:dyDescent="0.45">
      <c r="A393" s="106"/>
      <c r="B393" s="272"/>
      <c r="C393" s="272"/>
      <c r="D393" s="106"/>
      <c r="E393" s="475"/>
      <c r="F393" s="475"/>
      <c r="G393" s="272"/>
      <c r="H393" s="272"/>
      <c r="I393" s="272"/>
      <c r="J393" s="272"/>
      <c r="K393" s="272"/>
      <c r="L393" s="272"/>
      <c r="M393" s="272"/>
      <c r="N393" s="272"/>
      <c r="O393" s="272"/>
      <c r="P393" s="272"/>
      <c r="Q393" s="272"/>
      <c r="R393" s="272"/>
      <c r="S393" s="272"/>
      <c r="T393" s="272"/>
      <c r="U393" s="272"/>
      <c r="V393" s="272"/>
      <c r="W393" s="272"/>
      <c r="X393" s="272"/>
      <c r="Y393" s="276"/>
      <c r="Z393" s="276"/>
      <c r="AA393" s="606"/>
      <c r="AB393" s="181"/>
      <c r="AC393" s="117"/>
      <c r="AD393" s="106"/>
      <c r="AE393" s="106"/>
      <c r="AF393" s="106"/>
    </row>
    <row r="394" spans="1:32" ht="21" customHeight="1" thickBot="1" x14ac:dyDescent="0.45">
      <c r="A394" s="106"/>
      <c r="B394" s="272"/>
      <c r="C394" s="272"/>
      <c r="D394" s="106"/>
      <c r="E394" s="475"/>
      <c r="F394" s="475"/>
      <c r="G394" s="272"/>
      <c r="H394" s="272"/>
      <c r="I394" s="272"/>
      <c r="J394" s="272"/>
      <c r="K394" s="272"/>
      <c r="L394" s="272"/>
      <c r="M394" s="272"/>
      <c r="N394" s="272"/>
      <c r="O394" s="272"/>
      <c r="P394" s="272"/>
      <c r="Q394" s="272"/>
      <c r="R394" s="272"/>
      <c r="S394" s="272"/>
      <c r="T394" s="272"/>
      <c r="U394" s="272"/>
      <c r="V394" s="272"/>
      <c r="W394" s="272"/>
      <c r="X394" s="272"/>
      <c r="Y394" s="276"/>
      <c r="Z394" s="276"/>
      <c r="AA394" s="606"/>
      <c r="AB394" s="181"/>
      <c r="AC394" s="117"/>
      <c r="AD394" s="106"/>
      <c r="AE394" s="106"/>
      <c r="AF394" s="106"/>
    </row>
    <row r="395" spans="1:32" ht="21" customHeight="1" thickBot="1" x14ac:dyDescent="0.45">
      <c r="A395" s="106"/>
      <c r="B395" s="272"/>
      <c r="C395" s="272"/>
      <c r="D395" s="106"/>
      <c r="E395" s="475"/>
      <c r="F395" s="475"/>
      <c r="G395" s="272"/>
      <c r="H395" s="272"/>
      <c r="I395" s="272"/>
      <c r="J395" s="272"/>
      <c r="K395" s="272"/>
      <c r="L395" s="272"/>
      <c r="M395" s="272"/>
      <c r="N395" s="272"/>
      <c r="O395" s="272"/>
      <c r="P395" s="272"/>
      <c r="Q395" s="272"/>
      <c r="R395" s="272"/>
      <c r="S395" s="272"/>
      <c r="T395" s="272"/>
      <c r="U395" s="272"/>
      <c r="V395" s="272"/>
      <c r="W395" s="272"/>
      <c r="X395" s="272"/>
      <c r="Y395" s="276"/>
      <c r="Z395" s="276"/>
      <c r="AA395" s="606"/>
      <c r="AB395" s="181"/>
      <c r="AC395" s="117"/>
      <c r="AD395" s="106"/>
      <c r="AE395" s="106"/>
      <c r="AF395" s="106"/>
    </row>
    <row r="396" spans="1:32" ht="21" customHeight="1" thickBot="1" x14ac:dyDescent="0.45">
      <c r="A396" s="106"/>
      <c r="B396" s="272"/>
      <c r="C396" s="272"/>
      <c r="D396" s="106"/>
      <c r="E396" s="475"/>
      <c r="F396" s="475"/>
      <c r="G396" s="272"/>
      <c r="H396" s="272"/>
      <c r="I396" s="272"/>
      <c r="J396" s="272"/>
      <c r="K396" s="272"/>
      <c r="L396" s="272"/>
      <c r="M396" s="272"/>
      <c r="N396" s="272"/>
      <c r="O396" s="272"/>
      <c r="P396" s="272"/>
      <c r="Q396" s="272"/>
      <c r="R396" s="272"/>
      <c r="S396" s="272"/>
      <c r="T396" s="272"/>
      <c r="U396" s="272"/>
      <c r="V396" s="272"/>
      <c r="W396" s="272"/>
      <c r="X396" s="272"/>
      <c r="Y396" s="276"/>
      <c r="Z396" s="276"/>
      <c r="AA396" s="606"/>
      <c r="AB396" s="181"/>
      <c r="AC396" s="117"/>
      <c r="AD396" s="106"/>
      <c r="AE396" s="106"/>
      <c r="AF396" s="106"/>
    </row>
    <row r="397" spans="1:32" ht="21" customHeight="1" thickBot="1" x14ac:dyDescent="0.45">
      <c r="A397" s="106"/>
      <c r="B397" s="272"/>
      <c r="C397" s="272"/>
      <c r="D397" s="106"/>
      <c r="E397" s="475"/>
      <c r="F397" s="475"/>
      <c r="G397" s="272"/>
      <c r="H397" s="272"/>
      <c r="I397" s="272"/>
      <c r="J397" s="272"/>
      <c r="K397" s="272"/>
      <c r="L397" s="272"/>
      <c r="M397" s="272"/>
      <c r="N397" s="272"/>
      <c r="O397" s="272"/>
      <c r="P397" s="272"/>
      <c r="Q397" s="272"/>
      <c r="R397" s="272"/>
      <c r="S397" s="272"/>
      <c r="T397" s="272"/>
      <c r="U397" s="272"/>
      <c r="V397" s="272"/>
      <c r="W397" s="272"/>
      <c r="X397" s="272"/>
      <c r="Y397" s="276"/>
      <c r="Z397" s="276"/>
      <c r="AA397" s="606"/>
      <c r="AB397" s="181"/>
      <c r="AC397" s="117"/>
      <c r="AD397" s="106"/>
      <c r="AE397" s="106"/>
      <c r="AF397" s="106"/>
    </row>
    <row r="398" spans="1:32" ht="21" customHeight="1" thickBot="1" x14ac:dyDescent="0.45">
      <c r="A398" s="106"/>
      <c r="B398" s="272"/>
      <c r="C398" s="272"/>
      <c r="D398" s="106"/>
      <c r="E398" s="475"/>
      <c r="F398" s="475"/>
      <c r="G398" s="272"/>
      <c r="H398" s="272"/>
      <c r="I398" s="272"/>
      <c r="J398" s="272"/>
      <c r="K398" s="272"/>
      <c r="L398" s="272"/>
      <c r="M398" s="272"/>
      <c r="N398" s="272"/>
      <c r="O398" s="272"/>
      <c r="P398" s="272"/>
      <c r="Q398" s="272"/>
      <c r="R398" s="272"/>
      <c r="S398" s="272"/>
      <c r="T398" s="272"/>
      <c r="U398" s="272"/>
      <c r="V398" s="272"/>
      <c r="W398" s="272"/>
      <c r="X398" s="272"/>
      <c r="Y398" s="276"/>
      <c r="Z398" s="276"/>
      <c r="AA398" s="606"/>
      <c r="AB398" s="181"/>
      <c r="AC398" s="117"/>
      <c r="AD398" s="106"/>
      <c r="AE398" s="106"/>
      <c r="AF398" s="106"/>
    </row>
    <row r="399" spans="1:32" ht="21" customHeight="1" thickBot="1" x14ac:dyDescent="0.45">
      <c r="A399" s="106"/>
      <c r="B399" s="272"/>
      <c r="C399" s="272"/>
      <c r="D399" s="106"/>
      <c r="E399" s="475"/>
      <c r="F399" s="475"/>
      <c r="G399" s="272"/>
      <c r="H399" s="272"/>
      <c r="I399" s="272"/>
      <c r="J399" s="272"/>
      <c r="K399" s="272"/>
      <c r="L399" s="272"/>
      <c r="M399" s="272"/>
      <c r="N399" s="272"/>
      <c r="O399" s="272"/>
      <c r="P399" s="272"/>
      <c r="Q399" s="272"/>
      <c r="R399" s="272"/>
      <c r="S399" s="272"/>
      <c r="T399" s="272"/>
      <c r="U399" s="272"/>
      <c r="V399" s="272"/>
      <c r="W399" s="272"/>
      <c r="X399" s="272"/>
      <c r="Y399" s="276"/>
      <c r="Z399" s="276"/>
      <c r="AA399" s="606"/>
      <c r="AB399" s="181"/>
      <c r="AC399" s="117"/>
      <c r="AD399" s="106"/>
      <c r="AE399" s="106"/>
      <c r="AF399" s="106"/>
    </row>
    <row r="400" spans="1:32" ht="21" customHeight="1" thickBot="1" x14ac:dyDescent="0.45">
      <c r="A400" s="106"/>
      <c r="B400" s="272"/>
      <c r="C400" s="272"/>
      <c r="D400" s="106"/>
      <c r="E400" s="475"/>
      <c r="F400" s="475"/>
      <c r="G400" s="272"/>
      <c r="H400" s="272"/>
      <c r="I400" s="272"/>
      <c r="J400" s="272"/>
      <c r="K400" s="272"/>
      <c r="L400" s="272"/>
      <c r="M400" s="272"/>
      <c r="N400" s="272"/>
      <c r="O400" s="272"/>
      <c r="P400" s="272"/>
      <c r="Q400" s="272"/>
      <c r="R400" s="272"/>
      <c r="S400" s="272"/>
      <c r="T400" s="272"/>
      <c r="U400" s="272"/>
      <c r="V400" s="272"/>
      <c r="W400" s="272"/>
      <c r="X400" s="272"/>
      <c r="Y400" s="276"/>
      <c r="Z400" s="276"/>
      <c r="AA400" s="606"/>
      <c r="AB400" s="181"/>
      <c r="AC400" s="117"/>
      <c r="AD400" s="106"/>
      <c r="AE400" s="106"/>
      <c r="AF400" s="106"/>
    </row>
    <row r="401" spans="1:32" ht="21" customHeight="1" thickBot="1" x14ac:dyDescent="0.45">
      <c r="A401" s="106"/>
      <c r="B401" s="272"/>
      <c r="C401" s="272"/>
      <c r="D401" s="106"/>
      <c r="E401" s="475"/>
      <c r="F401" s="475"/>
      <c r="G401" s="272"/>
      <c r="H401" s="272"/>
      <c r="I401" s="272"/>
      <c r="J401" s="272"/>
      <c r="K401" s="272"/>
      <c r="L401" s="272"/>
      <c r="M401" s="272"/>
      <c r="N401" s="272"/>
      <c r="O401" s="272"/>
      <c r="P401" s="272"/>
      <c r="Q401" s="272"/>
      <c r="R401" s="272"/>
      <c r="S401" s="272"/>
      <c r="T401" s="272"/>
      <c r="U401" s="272"/>
      <c r="V401" s="272"/>
      <c r="W401" s="272"/>
      <c r="X401" s="272"/>
      <c r="Y401" s="276"/>
      <c r="Z401" s="276"/>
      <c r="AA401" s="606"/>
      <c r="AB401" s="181"/>
      <c r="AC401" s="117"/>
      <c r="AD401" s="106"/>
      <c r="AE401" s="106"/>
      <c r="AF401" s="106"/>
    </row>
    <row r="402" spans="1:32" ht="21" customHeight="1" thickBot="1" x14ac:dyDescent="0.45">
      <c r="A402" s="106"/>
      <c r="B402" s="272"/>
      <c r="C402" s="272"/>
      <c r="D402" s="106"/>
      <c r="E402" s="475"/>
      <c r="F402" s="475"/>
      <c r="G402" s="272"/>
      <c r="H402" s="272"/>
      <c r="I402" s="272"/>
      <c r="J402" s="272"/>
      <c r="K402" s="272"/>
      <c r="L402" s="272"/>
      <c r="M402" s="272"/>
      <c r="N402" s="272"/>
      <c r="O402" s="272"/>
      <c r="P402" s="272"/>
      <c r="Q402" s="272"/>
      <c r="R402" s="272"/>
      <c r="S402" s="272"/>
      <c r="T402" s="272"/>
      <c r="U402" s="272"/>
      <c r="V402" s="272"/>
      <c r="W402" s="272"/>
      <c r="X402" s="272"/>
      <c r="Y402" s="276"/>
      <c r="Z402" s="276"/>
      <c r="AA402" s="606"/>
      <c r="AB402" s="181"/>
      <c r="AC402" s="117"/>
      <c r="AD402" s="106"/>
      <c r="AE402" s="106"/>
      <c r="AF402" s="106"/>
    </row>
    <row r="403" spans="1:32" ht="21" customHeight="1" thickBot="1" x14ac:dyDescent="0.45">
      <c r="A403" s="106"/>
      <c r="B403" s="272"/>
      <c r="C403" s="272"/>
      <c r="D403" s="106"/>
      <c r="E403" s="475"/>
      <c r="F403" s="475"/>
      <c r="G403" s="272"/>
      <c r="H403" s="272"/>
      <c r="I403" s="272"/>
      <c r="J403" s="272"/>
      <c r="K403" s="272"/>
      <c r="L403" s="272"/>
      <c r="M403" s="272"/>
      <c r="N403" s="272"/>
      <c r="O403" s="272"/>
      <c r="P403" s="272"/>
      <c r="Q403" s="272"/>
      <c r="R403" s="272"/>
      <c r="S403" s="272"/>
      <c r="T403" s="272"/>
      <c r="U403" s="272"/>
      <c r="V403" s="272"/>
      <c r="W403" s="272"/>
      <c r="X403" s="272"/>
      <c r="Y403" s="276"/>
      <c r="Z403" s="276"/>
      <c r="AA403" s="606"/>
      <c r="AB403" s="181"/>
      <c r="AC403" s="117"/>
      <c r="AD403" s="106"/>
      <c r="AE403" s="106"/>
      <c r="AF403" s="106"/>
    </row>
    <row r="404" spans="1:32" ht="21" customHeight="1" thickBot="1" x14ac:dyDescent="0.45">
      <c r="A404" s="106"/>
      <c r="B404" s="272"/>
      <c r="C404" s="272"/>
      <c r="D404" s="106"/>
      <c r="E404" s="475"/>
      <c r="F404" s="475"/>
      <c r="G404" s="272"/>
      <c r="H404" s="272"/>
      <c r="I404" s="272"/>
      <c r="J404" s="272"/>
      <c r="K404" s="272"/>
      <c r="L404" s="272"/>
      <c r="M404" s="272"/>
      <c r="N404" s="272"/>
      <c r="O404" s="272"/>
      <c r="P404" s="272"/>
      <c r="Q404" s="272"/>
      <c r="R404" s="272"/>
      <c r="S404" s="272"/>
      <c r="T404" s="272"/>
      <c r="U404" s="272"/>
      <c r="V404" s="272"/>
      <c r="W404" s="272"/>
      <c r="X404" s="272"/>
      <c r="Y404" s="276"/>
      <c r="Z404" s="276"/>
      <c r="AA404" s="606"/>
      <c r="AB404" s="181"/>
      <c r="AC404" s="117"/>
      <c r="AD404" s="106"/>
      <c r="AE404" s="106"/>
      <c r="AF404" s="106"/>
    </row>
    <row r="405" spans="1:32" ht="21" customHeight="1" thickBot="1" x14ac:dyDescent="0.45">
      <c r="A405" s="106"/>
      <c r="B405" s="272"/>
      <c r="C405" s="272"/>
      <c r="D405" s="106"/>
      <c r="E405" s="475"/>
      <c r="F405" s="475"/>
      <c r="G405" s="272"/>
      <c r="H405" s="272"/>
      <c r="I405" s="272"/>
      <c r="J405" s="272"/>
      <c r="K405" s="272"/>
      <c r="L405" s="272"/>
      <c r="M405" s="272"/>
      <c r="N405" s="272"/>
      <c r="O405" s="272"/>
      <c r="P405" s="272"/>
      <c r="Q405" s="272"/>
      <c r="R405" s="272"/>
      <c r="S405" s="272"/>
      <c r="T405" s="272"/>
      <c r="U405" s="272"/>
      <c r="V405" s="272"/>
      <c r="W405" s="272"/>
      <c r="X405" s="272"/>
      <c r="Y405" s="276"/>
      <c r="Z405" s="276"/>
      <c r="AA405" s="606"/>
      <c r="AB405" s="181"/>
      <c r="AC405" s="117"/>
      <c r="AD405" s="106"/>
      <c r="AE405" s="106"/>
      <c r="AF405" s="106"/>
    </row>
    <row r="406" spans="1:32" ht="21" customHeight="1" thickBot="1" x14ac:dyDescent="0.45">
      <c r="A406" s="106"/>
      <c r="B406" s="272"/>
      <c r="C406" s="272"/>
      <c r="D406" s="106"/>
      <c r="E406" s="475"/>
      <c r="F406" s="475"/>
      <c r="G406" s="272"/>
      <c r="H406" s="272"/>
      <c r="I406" s="272"/>
      <c r="J406" s="272"/>
      <c r="K406" s="272"/>
      <c r="L406" s="272"/>
      <c r="M406" s="272"/>
      <c r="N406" s="272"/>
      <c r="O406" s="272"/>
      <c r="P406" s="272"/>
      <c r="Q406" s="272"/>
      <c r="R406" s="272"/>
      <c r="S406" s="272"/>
      <c r="T406" s="272"/>
      <c r="U406" s="272"/>
      <c r="V406" s="272"/>
      <c r="W406" s="272"/>
      <c r="X406" s="272"/>
      <c r="Y406" s="276"/>
      <c r="Z406" s="276"/>
      <c r="AA406" s="606"/>
      <c r="AB406" s="181"/>
      <c r="AC406" s="117"/>
      <c r="AD406" s="106"/>
      <c r="AE406" s="106"/>
      <c r="AF406" s="106"/>
    </row>
    <row r="407" spans="1:32" ht="21" customHeight="1" thickBot="1" x14ac:dyDescent="0.45">
      <c r="A407" s="106"/>
      <c r="B407" s="272"/>
      <c r="C407" s="272"/>
      <c r="D407" s="106"/>
      <c r="E407" s="475"/>
      <c r="F407" s="475"/>
      <c r="G407" s="272"/>
      <c r="H407" s="272"/>
      <c r="I407" s="272"/>
      <c r="J407" s="272"/>
      <c r="K407" s="272"/>
      <c r="L407" s="272"/>
      <c r="M407" s="272"/>
      <c r="N407" s="272"/>
      <c r="O407" s="272"/>
      <c r="P407" s="272"/>
      <c r="Q407" s="272"/>
      <c r="R407" s="272"/>
      <c r="S407" s="272"/>
      <c r="T407" s="272"/>
      <c r="U407" s="272"/>
      <c r="V407" s="272"/>
      <c r="W407" s="272"/>
      <c r="X407" s="272"/>
      <c r="Y407" s="276"/>
      <c r="Z407" s="276"/>
      <c r="AA407" s="606"/>
      <c r="AB407" s="181"/>
      <c r="AC407" s="117"/>
      <c r="AD407" s="106"/>
      <c r="AE407" s="106"/>
      <c r="AF407" s="106"/>
    </row>
    <row r="408" spans="1:32" ht="21" customHeight="1" thickBot="1" x14ac:dyDescent="0.45">
      <c r="A408" s="106"/>
      <c r="B408" s="272"/>
      <c r="C408" s="272"/>
      <c r="D408" s="106"/>
      <c r="E408" s="475"/>
      <c r="F408" s="475"/>
      <c r="G408" s="272"/>
      <c r="H408" s="272"/>
      <c r="I408" s="272"/>
      <c r="J408" s="272"/>
      <c r="K408" s="272"/>
      <c r="L408" s="272"/>
      <c r="M408" s="272"/>
      <c r="N408" s="272"/>
      <c r="O408" s="272"/>
      <c r="P408" s="272"/>
      <c r="Q408" s="272"/>
      <c r="R408" s="272"/>
      <c r="S408" s="272"/>
      <c r="T408" s="272"/>
      <c r="U408" s="272"/>
      <c r="V408" s="272"/>
      <c r="W408" s="272"/>
      <c r="X408" s="272"/>
      <c r="Y408" s="276"/>
      <c r="Z408" s="276"/>
      <c r="AA408" s="606"/>
      <c r="AB408" s="181"/>
      <c r="AC408" s="117"/>
      <c r="AD408" s="106"/>
      <c r="AE408" s="106"/>
      <c r="AF408" s="106"/>
    </row>
    <row r="409" spans="1:32" ht="21" customHeight="1" thickBot="1" x14ac:dyDescent="0.45">
      <c r="A409" s="106"/>
      <c r="B409" s="272"/>
      <c r="C409" s="272"/>
      <c r="D409" s="106"/>
      <c r="E409" s="475"/>
      <c r="F409" s="475"/>
      <c r="G409" s="272"/>
      <c r="H409" s="272"/>
      <c r="I409" s="272"/>
      <c r="J409" s="272"/>
      <c r="K409" s="272"/>
      <c r="L409" s="272"/>
      <c r="M409" s="272"/>
      <c r="N409" s="272"/>
      <c r="O409" s="272"/>
      <c r="P409" s="272"/>
      <c r="Q409" s="272"/>
      <c r="R409" s="272"/>
      <c r="S409" s="272"/>
      <c r="T409" s="272"/>
      <c r="U409" s="272"/>
      <c r="V409" s="272"/>
      <c r="W409" s="272"/>
      <c r="X409" s="272"/>
      <c r="Y409" s="276"/>
      <c r="Z409" s="276"/>
      <c r="AA409" s="606"/>
      <c r="AB409" s="181"/>
      <c r="AC409" s="117"/>
      <c r="AD409" s="106"/>
      <c r="AE409" s="106"/>
      <c r="AF409" s="106"/>
    </row>
    <row r="410" spans="1:32" ht="21" customHeight="1" thickBot="1" x14ac:dyDescent="0.45">
      <c r="A410" s="106"/>
      <c r="B410" s="272"/>
      <c r="C410" s="272"/>
      <c r="D410" s="106"/>
      <c r="E410" s="475"/>
      <c r="F410" s="475"/>
      <c r="G410" s="272"/>
      <c r="H410" s="272"/>
      <c r="I410" s="272"/>
      <c r="J410" s="272"/>
      <c r="K410" s="272"/>
      <c r="L410" s="272"/>
      <c r="M410" s="272"/>
      <c r="N410" s="272"/>
      <c r="O410" s="272"/>
      <c r="P410" s="272"/>
      <c r="Q410" s="272"/>
      <c r="R410" s="272"/>
      <c r="S410" s="272"/>
      <c r="T410" s="272"/>
      <c r="U410" s="272"/>
      <c r="V410" s="272"/>
      <c r="W410" s="272"/>
      <c r="X410" s="272"/>
      <c r="Y410" s="276"/>
      <c r="Z410" s="276"/>
      <c r="AA410" s="606"/>
      <c r="AB410" s="181"/>
      <c r="AC410" s="117"/>
      <c r="AD410" s="106"/>
      <c r="AE410" s="106"/>
      <c r="AF410" s="106"/>
    </row>
    <row r="411" spans="1:32" ht="21" customHeight="1" thickBot="1" x14ac:dyDescent="0.45">
      <c r="A411" s="106"/>
      <c r="B411" s="272"/>
      <c r="C411" s="272"/>
      <c r="D411" s="106"/>
      <c r="E411" s="475"/>
      <c r="F411" s="475"/>
      <c r="G411" s="272"/>
      <c r="H411" s="272"/>
      <c r="I411" s="272"/>
      <c r="J411" s="272"/>
      <c r="K411" s="272"/>
      <c r="L411" s="272"/>
      <c r="M411" s="272"/>
      <c r="N411" s="272"/>
      <c r="O411" s="272"/>
      <c r="P411" s="272"/>
      <c r="Q411" s="272"/>
      <c r="R411" s="272"/>
      <c r="S411" s="272"/>
      <c r="T411" s="272"/>
      <c r="U411" s="272"/>
      <c r="V411" s="272"/>
      <c r="W411" s="272"/>
      <c r="X411" s="272"/>
      <c r="Y411" s="276"/>
      <c r="Z411" s="276"/>
      <c r="AA411" s="606"/>
      <c r="AB411" s="181"/>
      <c r="AC411" s="117"/>
      <c r="AD411" s="106"/>
      <c r="AE411" s="106"/>
      <c r="AF411" s="106"/>
    </row>
    <row r="412" spans="1:32" ht="21" customHeight="1" x14ac:dyDescent="0.4">
      <c r="E412" s="476"/>
      <c r="F412" s="476"/>
    </row>
    <row r="413" spans="1:32" ht="21" customHeight="1" x14ac:dyDescent="0.4">
      <c r="E413" s="476"/>
      <c r="F413" s="476"/>
    </row>
    <row r="414" spans="1:32" ht="21" customHeight="1" x14ac:dyDescent="0.4">
      <c r="E414" s="476"/>
      <c r="F414" s="476"/>
    </row>
    <row r="415" spans="1:32" ht="21" customHeight="1" x14ac:dyDescent="0.4">
      <c r="E415" s="476"/>
      <c r="F415" s="476"/>
    </row>
    <row r="416" spans="1:32" ht="21" customHeight="1" x14ac:dyDescent="0.4">
      <c r="E416" s="476"/>
      <c r="F416" s="476"/>
    </row>
    <row r="417" spans="5:6" ht="21" customHeight="1" x14ac:dyDescent="0.4">
      <c r="E417" s="476"/>
      <c r="F417" s="476"/>
    </row>
    <row r="418" spans="5:6" ht="21" customHeight="1" x14ac:dyDescent="0.4">
      <c r="E418" s="476"/>
      <c r="F418" s="476"/>
    </row>
    <row r="419" spans="5:6" ht="21" customHeight="1" x14ac:dyDescent="0.4">
      <c r="E419" s="476"/>
      <c r="F419" s="476"/>
    </row>
    <row r="420" spans="5:6" ht="21" customHeight="1" x14ac:dyDescent="0.4">
      <c r="E420" s="476"/>
      <c r="F420" s="476"/>
    </row>
    <row r="421" spans="5:6" ht="21" customHeight="1" x14ac:dyDescent="0.4">
      <c r="E421" s="476"/>
      <c r="F421" s="476"/>
    </row>
    <row r="422" spans="5:6" ht="21" customHeight="1" x14ac:dyDescent="0.4">
      <c r="E422" s="476"/>
      <c r="F422" s="476"/>
    </row>
    <row r="423" spans="5:6" ht="21" customHeight="1" x14ac:dyDescent="0.4">
      <c r="E423" s="476"/>
      <c r="F423" s="476"/>
    </row>
    <row r="424" spans="5:6" ht="21" customHeight="1" x14ac:dyDescent="0.4">
      <c r="E424" s="476"/>
      <c r="F424" s="476"/>
    </row>
    <row r="425" spans="5:6" ht="21" customHeight="1" x14ac:dyDescent="0.4">
      <c r="E425" s="476"/>
      <c r="F425" s="476"/>
    </row>
    <row r="426" spans="5:6" ht="21" customHeight="1" x14ac:dyDescent="0.4">
      <c r="E426" s="476"/>
      <c r="F426" s="476"/>
    </row>
    <row r="427" spans="5:6" ht="21" customHeight="1" x14ac:dyDescent="0.4">
      <c r="E427" s="476"/>
      <c r="F427" s="476"/>
    </row>
    <row r="428" spans="5:6" ht="21" customHeight="1" x14ac:dyDescent="0.4">
      <c r="E428" s="476"/>
      <c r="F428" s="476"/>
    </row>
    <row r="429" spans="5:6" ht="21" customHeight="1" x14ac:dyDescent="0.4">
      <c r="E429" s="476"/>
      <c r="F429" s="476"/>
    </row>
    <row r="430" spans="5:6" ht="21" customHeight="1" x14ac:dyDescent="0.4">
      <c r="E430" s="476"/>
      <c r="F430" s="476"/>
    </row>
    <row r="431" spans="5:6" ht="21" customHeight="1" x14ac:dyDescent="0.4">
      <c r="E431" s="476"/>
      <c r="F431" s="476"/>
    </row>
    <row r="432" spans="5:6" ht="21" customHeight="1" x14ac:dyDescent="0.4">
      <c r="E432" s="476"/>
      <c r="F432" s="476"/>
    </row>
    <row r="433" spans="5:6" ht="21" customHeight="1" x14ac:dyDescent="0.4">
      <c r="E433" s="476"/>
      <c r="F433" s="476"/>
    </row>
    <row r="434" spans="5:6" ht="21" customHeight="1" x14ac:dyDescent="0.4">
      <c r="E434" s="476"/>
      <c r="F434" s="476"/>
    </row>
    <row r="435" spans="5:6" ht="21" customHeight="1" x14ac:dyDescent="0.4">
      <c r="E435" s="476"/>
      <c r="F435" s="476"/>
    </row>
    <row r="436" spans="5:6" ht="21" customHeight="1" x14ac:dyDescent="0.4">
      <c r="E436" s="476"/>
      <c r="F436" s="476"/>
    </row>
    <row r="437" spans="5:6" ht="21" customHeight="1" x14ac:dyDescent="0.4">
      <c r="E437" s="476"/>
      <c r="F437" s="476"/>
    </row>
    <row r="438" spans="5:6" ht="21" customHeight="1" x14ac:dyDescent="0.4">
      <c r="E438" s="476"/>
      <c r="F438" s="476"/>
    </row>
    <row r="439" spans="5:6" ht="21" customHeight="1" x14ac:dyDescent="0.4">
      <c r="E439" s="476"/>
      <c r="F439" s="476"/>
    </row>
    <row r="440" spans="5:6" ht="21" customHeight="1" x14ac:dyDescent="0.4">
      <c r="E440" s="476"/>
      <c r="F440" s="476"/>
    </row>
    <row r="441" spans="5:6" ht="21" customHeight="1" x14ac:dyDescent="0.4">
      <c r="E441" s="476"/>
      <c r="F441" s="476"/>
    </row>
    <row r="442" spans="5:6" ht="21" customHeight="1" x14ac:dyDescent="0.4">
      <c r="E442" s="476"/>
      <c r="F442" s="476"/>
    </row>
    <row r="443" spans="5:6" ht="21" customHeight="1" x14ac:dyDescent="0.4">
      <c r="E443" s="476"/>
      <c r="F443" s="476"/>
    </row>
    <row r="444" spans="5:6" ht="21" customHeight="1" x14ac:dyDescent="0.4">
      <c r="E444" s="476"/>
      <c r="F444" s="476"/>
    </row>
    <row r="445" spans="5:6" ht="21" customHeight="1" x14ac:dyDescent="0.4">
      <c r="E445" s="476"/>
      <c r="F445" s="476"/>
    </row>
    <row r="446" spans="5:6" ht="21" customHeight="1" x14ac:dyDescent="0.4">
      <c r="E446" s="476"/>
      <c r="F446" s="476"/>
    </row>
    <row r="447" spans="5:6" ht="21" customHeight="1" x14ac:dyDescent="0.4">
      <c r="E447" s="476"/>
      <c r="F447" s="476"/>
    </row>
    <row r="448" spans="5:6" ht="21" customHeight="1" x14ac:dyDescent="0.4">
      <c r="E448" s="476"/>
      <c r="F448" s="476"/>
    </row>
    <row r="449" spans="5:6" ht="21" customHeight="1" x14ac:dyDescent="0.4">
      <c r="E449" s="476"/>
      <c r="F449" s="476"/>
    </row>
    <row r="450" spans="5:6" ht="21" customHeight="1" x14ac:dyDescent="0.4">
      <c r="E450" s="476"/>
      <c r="F450" s="476"/>
    </row>
    <row r="451" spans="5:6" ht="21" customHeight="1" x14ac:dyDescent="0.4">
      <c r="E451" s="476"/>
      <c r="F451" s="476"/>
    </row>
    <row r="452" spans="5:6" ht="21" customHeight="1" x14ac:dyDescent="0.4">
      <c r="E452" s="476"/>
      <c r="F452" s="476"/>
    </row>
    <row r="453" spans="5:6" ht="21" customHeight="1" x14ac:dyDescent="0.4">
      <c r="E453" s="476"/>
      <c r="F453" s="476"/>
    </row>
    <row r="454" spans="5:6" ht="21" customHeight="1" x14ac:dyDescent="0.4">
      <c r="E454" s="476"/>
      <c r="F454" s="476"/>
    </row>
    <row r="455" spans="5:6" ht="21" customHeight="1" x14ac:dyDescent="0.4">
      <c r="E455" s="476"/>
      <c r="F455" s="476"/>
    </row>
    <row r="456" spans="5:6" ht="21" customHeight="1" x14ac:dyDescent="0.4">
      <c r="E456" s="476"/>
      <c r="F456" s="476"/>
    </row>
    <row r="457" spans="5:6" ht="21" customHeight="1" x14ac:dyDescent="0.4">
      <c r="E457" s="476"/>
      <c r="F457" s="476"/>
    </row>
    <row r="458" spans="5:6" ht="21" customHeight="1" x14ac:dyDescent="0.4">
      <c r="E458" s="476"/>
      <c r="F458" s="476"/>
    </row>
    <row r="459" spans="5:6" ht="21" customHeight="1" x14ac:dyDescent="0.4">
      <c r="E459" s="476"/>
      <c r="F459" s="476"/>
    </row>
    <row r="460" spans="5:6" ht="21" customHeight="1" x14ac:dyDescent="0.4">
      <c r="E460" s="476"/>
      <c r="F460" s="476"/>
    </row>
    <row r="461" spans="5:6" ht="21" customHeight="1" x14ac:dyDescent="0.4">
      <c r="E461" s="476"/>
      <c r="F461" s="476"/>
    </row>
    <row r="462" spans="5:6" ht="21" customHeight="1" x14ac:dyDescent="0.4">
      <c r="E462" s="476"/>
      <c r="F462" s="476"/>
    </row>
    <row r="463" spans="5:6" ht="21" customHeight="1" x14ac:dyDescent="0.4">
      <c r="E463" s="476"/>
      <c r="F463" s="476"/>
    </row>
    <row r="464" spans="5:6" ht="21" customHeight="1" x14ac:dyDescent="0.4">
      <c r="E464" s="476"/>
      <c r="F464" s="476"/>
    </row>
    <row r="465" spans="5:6" ht="21" customHeight="1" x14ac:dyDescent="0.4">
      <c r="E465" s="476"/>
      <c r="F465" s="476"/>
    </row>
    <row r="466" spans="5:6" ht="21" customHeight="1" x14ac:dyDescent="0.4">
      <c r="E466" s="476"/>
      <c r="F466" s="476"/>
    </row>
    <row r="467" spans="5:6" ht="21" customHeight="1" x14ac:dyDescent="0.4">
      <c r="E467" s="476"/>
      <c r="F467" s="476"/>
    </row>
    <row r="468" spans="5:6" ht="21" customHeight="1" x14ac:dyDescent="0.4">
      <c r="E468" s="476"/>
      <c r="F468" s="476"/>
    </row>
    <row r="469" spans="5:6" ht="21" customHeight="1" x14ac:dyDescent="0.4">
      <c r="E469" s="476"/>
      <c r="F469" s="476"/>
    </row>
    <row r="470" spans="5:6" ht="21" customHeight="1" x14ac:dyDescent="0.4">
      <c r="E470" s="476"/>
      <c r="F470" s="476"/>
    </row>
    <row r="471" spans="5:6" ht="21" customHeight="1" x14ac:dyDescent="0.4">
      <c r="E471" s="476"/>
      <c r="F471" s="476"/>
    </row>
    <row r="472" spans="5:6" ht="21" customHeight="1" x14ac:dyDescent="0.4">
      <c r="E472" s="476"/>
      <c r="F472" s="476"/>
    </row>
    <row r="473" spans="5:6" ht="21" customHeight="1" x14ac:dyDescent="0.4">
      <c r="E473" s="476"/>
      <c r="F473" s="476"/>
    </row>
    <row r="474" spans="5:6" ht="21" customHeight="1" x14ac:dyDescent="0.4">
      <c r="E474" s="476"/>
      <c r="F474" s="476"/>
    </row>
    <row r="475" spans="5:6" ht="21" customHeight="1" x14ac:dyDescent="0.4">
      <c r="E475" s="476"/>
      <c r="F475" s="476"/>
    </row>
    <row r="476" spans="5:6" ht="21" customHeight="1" x14ac:dyDescent="0.4">
      <c r="E476" s="476"/>
      <c r="F476" s="476"/>
    </row>
    <row r="477" spans="5:6" ht="21" customHeight="1" x14ac:dyDescent="0.4">
      <c r="E477" s="476"/>
      <c r="F477" s="476"/>
    </row>
    <row r="478" spans="5:6" ht="21" customHeight="1" x14ac:dyDescent="0.4">
      <c r="E478" s="476"/>
      <c r="F478" s="476"/>
    </row>
    <row r="479" spans="5:6" ht="21" customHeight="1" x14ac:dyDescent="0.4">
      <c r="E479" s="476"/>
      <c r="F479" s="476"/>
    </row>
    <row r="480" spans="5:6" ht="21" customHeight="1" x14ac:dyDescent="0.4">
      <c r="E480" s="476"/>
      <c r="F480" s="476"/>
    </row>
    <row r="481" spans="5:6" ht="21" customHeight="1" x14ac:dyDescent="0.4">
      <c r="E481" s="476"/>
      <c r="F481" s="476"/>
    </row>
    <row r="482" spans="5:6" ht="21" customHeight="1" x14ac:dyDescent="0.4">
      <c r="E482" s="476"/>
      <c r="F482" s="476"/>
    </row>
    <row r="483" spans="5:6" ht="21" customHeight="1" x14ac:dyDescent="0.4">
      <c r="E483" s="476"/>
      <c r="F483" s="476"/>
    </row>
    <row r="484" spans="5:6" ht="21" customHeight="1" x14ac:dyDescent="0.4">
      <c r="E484" s="476"/>
      <c r="F484" s="476"/>
    </row>
    <row r="485" spans="5:6" ht="21" customHeight="1" x14ac:dyDescent="0.4">
      <c r="E485" s="476"/>
      <c r="F485" s="476"/>
    </row>
    <row r="486" spans="5:6" ht="21" customHeight="1" x14ac:dyDescent="0.4">
      <c r="E486" s="476"/>
      <c r="F486" s="476"/>
    </row>
    <row r="487" spans="5:6" ht="21" customHeight="1" x14ac:dyDescent="0.4">
      <c r="E487" s="476"/>
      <c r="F487" s="476"/>
    </row>
    <row r="488" spans="5:6" ht="21" customHeight="1" x14ac:dyDescent="0.4">
      <c r="E488" s="476"/>
      <c r="F488" s="476"/>
    </row>
    <row r="489" spans="5:6" ht="21" customHeight="1" x14ac:dyDescent="0.4">
      <c r="E489" s="476"/>
      <c r="F489" s="476"/>
    </row>
    <row r="490" spans="5:6" ht="21" customHeight="1" x14ac:dyDescent="0.4">
      <c r="E490" s="476"/>
      <c r="F490" s="476"/>
    </row>
    <row r="491" spans="5:6" ht="21" customHeight="1" x14ac:dyDescent="0.4">
      <c r="E491" s="476"/>
      <c r="F491" s="476"/>
    </row>
    <row r="492" spans="5:6" ht="21" customHeight="1" x14ac:dyDescent="0.4">
      <c r="E492" s="476"/>
      <c r="F492" s="476"/>
    </row>
    <row r="493" spans="5:6" ht="21" customHeight="1" x14ac:dyDescent="0.4">
      <c r="E493" s="476"/>
      <c r="F493" s="476"/>
    </row>
    <row r="494" spans="5:6" ht="21" customHeight="1" x14ac:dyDescent="0.4">
      <c r="E494" s="476"/>
      <c r="F494" s="476"/>
    </row>
    <row r="495" spans="5:6" ht="21" customHeight="1" x14ac:dyDescent="0.4">
      <c r="E495" s="476"/>
      <c r="F495" s="476"/>
    </row>
    <row r="496" spans="5:6" ht="21" customHeight="1" x14ac:dyDescent="0.4">
      <c r="E496" s="476"/>
      <c r="F496" s="476"/>
    </row>
    <row r="497" spans="5:6" ht="21" customHeight="1" x14ac:dyDescent="0.4">
      <c r="E497" s="476"/>
      <c r="F497" s="476"/>
    </row>
    <row r="498" spans="5:6" ht="21" customHeight="1" x14ac:dyDescent="0.4">
      <c r="E498" s="476"/>
      <c r="F498" s="476"/>
    </row>
    <row r="499" spans="5:6" ht="21" customHeight="1" x14ac:dyDescent="0.4">
      <c r="E499" s="476"/>
      <c r="F499" s="476"/>
    </row>
    <row r="500" spans="5:6" ht="21" customHeight="1" x14ac:dyDescent="0.4">
      <c r="E500" s="476"/>
      <c r="F500" s="476"/>
    </row>
    <row r="501" spans="5:6" ht="21" customHeight="1" x14ac:dyDescent="0.4">
      <c r="E501" s="476"/>
      <c r="F501" s="476"/>
    </row>
    <row r="502" spans="5:6" ht="21" customHeight="1" x14ac:dyDescent="0.4">
      <c r="E502" s="476"/>
      <c r="F502" s="476"/>
    </row>
    <row r="503" spans="5:6" ht="21" customHeight="1" x14ac:dyDescent="0.4">
      <c r="E503" s="476"/>
      <c r="F503" s="476"/>
    </row>
    <row r="504" spans="5:6" ht="21" customHeight="1" x14ac:dyDescent="0.4">
      <c r="E504" s="476"/>
      <c r="F504" s="476"/>
    </row>
    <row r="505" spans="5:6" ht="21" customHeight="1" x14ac:dyDescent="0.4">
      <c r="E505" s="476"/>
      <c r="F505" s="476"/>
    </row>
    <row r="506" spans="5:6" ht="21" customHeight="1" x14ac:dyDescent="0.4">
      <c r="E506" s="476"/>
      <c r="F506" s="476"/>
    </row>
    <row r="507" spans="5:6" ht="21" customHeight="1" x14ac:dyDescent="0.4">
      <c r="E507" s="476"/>
      <c r="F507" s="476"/>
    </row>
    <row r="508" spans="5:6" ht="21" customHeight="1" x14ac:dyDescent="0.4">
      <c r="E508" s="476"/>
      <c r="F508" s="476"/>
    </row>
    <row r="509" spans="5:6" ht="21" customHeight="1" x14ac:dyDescent="0.4">
      <c r="E509" s="476"/>
      <c r="F509" s="476"/>
    </row>
    <row r="510" spans="5:6" ht="21" customHeight="1" x14ac:dyDescent="0.4">
      <c r="E510" s="476"/>
      <c r="F510" s="476"/>
    </row>
    <row r="511" spans="5:6" ht="21" customHeight="1" x14ac:dyDescent="0.4">
      <c r="E511" s="476"/>
      <c r="F511" s="476"/>
    </row>
    <row r="512" spans="5:6" ht="21" customHeight="1" x14ac:dyDescent="0.4">
      <c r="E512" s="476"/>
      <c r="F512" s="476"/>
    </row>
    <row r="513" spans="5:6" ht="21" customHeight="1" x14ac:dyDescent="0.4">
      <c r="E513" s="476"/>
      <c r="F513" s="476"/>
    </row>
    <row r="514" spans="5:6" ht="21" customHeight="1" x14ac:dyDescent="0.4">
      <c r="E514" s="476"/>
      <c r="F514" s="476"/>
    </row>
    <row r="515" spans="5:6" ht="21" customHeight="1" x14ac:dyDescent="0.4">
      <c r="E515" s="476"/>
      <c r="F515" s="476"/>
    </row>
    <row r="516" spans="5:6" ht="21" customHeight="1" x14ac:dyDescent="0.4">
      <c r="E516" s="476"/>
      <c r="F516" s="476"/>
    </row>
    <row r="517" spans="5:6" ht="21" customHeight="1" x14ac:dyDescent="0.4">
      <c r="E517" s="476"/>
      <c r="F517" s="476"/>
    </row>
    <row r="518" spans="5:6" ht="21" customHeight="1" x14ac:dyDescent="0.4">
      <c r="E518" s="476"/>
      <c r="F518" s="476"/>
    </row>
    <row r="519" spans="5:6" ht="21" customHeight="1" x14ac:dyDescent="0.4">
      <c r="E519" s="476"/>
      <c r="F519" s="476"/>
    </row>
    <row r="520" spans="5:6" ht="21" customHeight="1" x14ac:dyDescent="0.4">
      <c r="E520" s="476"/>
      <c r="F520" s="476"/>
    </row>
    <row r="521" spans="5:6" ht="21" customHeight="1" x14ac:dyDescent="0.4">
      <c r="E521" s="476"/>
      <c r="F521" s="476"/>
    </row>
    <row r="522" spans="5:6" ht="21" customHeight="1" x14ac:dyDescent="0.4">
      <c r="E522" s="476"/>
      <c r="F522" s="476"/>
    </row>
    <row r="523" spans="5:6" ht="21" customHeight="1" x14ac:dyDescent="0.4">
      <c r="E523" s="476"/>
      <c r="F523" s="476"/>
    </row>
    <row r="524" spans="5:6" ht="21" customHeight="1" x14ac:dyDescent="0.4">
      <c r="E524" s="476"/>
      <c r="F524" s="476"/>
    </row>
    <row r="525" spans="5:6" ht="21" customHeight="1" x14ac:dyDescent="0.4">
      <c r="E525" s="476"/>
      <c r="F525" s="476"/>
    </row>
    <row r="526" spans="5:6" ht="21" customHeight="1" x14ac:dyDescent="0.4">
      <c r="E526" s="476"/>
      <c r="F526" s="476"/>
    </row>
    <row r="527" spans="5:6" ht="21" customHeight="1" x14ac:dyDescent="0.4">
      <c r="E527" s="476"/>
      <c r="F527" s="476"/>
    </row>
    <row r="528" spans="5:6" ht="21" customHeight="1" x14ac:dyDescent="0.4">
      <c r="E528" s="476"/>
      <c r="F528" s="476"/>
    </row>
    <row r="529" spans="5:6" ht="21" customHeight="1" x14ac:dyDescent="0.4">
      <c r="E529" s="476"/>
      <c r="F529" s="476"/>
    </row>
    <row r="530" spans="5:6" ht="21" customHeight="1" x14ac:dyDescent="0.4">
      <c r="E530" s="476"/>
      <c r="F530" s="476"/>
    </row>
    <row r="531" spans="5:6" ht="21" customHeight="1" x14ac:dyDescent="0.4">
      <c r="E531" s="476"/>
      <c r="F531" s="476"/>
    </row>
    <row r="532" spans="5:6" ht="21" customHeight="1" x14ac:dyDescent="0.4">
      <c r="E532" s="476"/>
      <c r="F532" s="476"/>
    </row>
    <row r="533" spans="5:6" ht="21" customHeight="1" x14ac:dyDescent="0.4">
      <c r="E533" s="476"/>
      <c r="F533" s="476"/>
    </row>
    <row r="534" spans="5:6" ht="21" customHeight="1" x14ac:dyDescent="0.4">
      <c r="E534" s="476"/>
      <c r="F534" s="476"/>
    </row>
    <row r="535" spans="5:6" ht="21" customHeight="1" x14ac:dyDescent="0.4">
      <c r="E535" s="476"/>
      <c r="F535" s="476"/>
    </row>
    <row r="536" spans="5:6" ht="21" customHeight="1" x14ac:dyDescent="0.4">
      <c r="E536" s="476"/>
      <c r="F536" s="476"/>
    </row>
    <row r="537" spans="5:6" ht="21" customHeight="1" x14ac:dyDescent="0.4">
      <c r="E537" s="476"/>
      <c r="F537" s="476"/>
    </row>
    <row r="538" spans="5:6" ht="21" customHeight="1" x14ac:dyDescent="0.4">
      <c r="E538" s="476"/>
      <c r="F538" s="476"/>
    </row>
    <row r="539" spans="5:6" ht="21" customHeight="1" x14ac:dyDescent="0.4">
      <c r="E539" s="476"/>
      <c r="F539" s="476"/>
    </row>
    <row r="540" spans="5:6" ht="21" customHeight="1" x14ac:dyDescent="0.4">
      <c r="E540" s="476"/>
      <c r="F540" s="476"/>
    </row>
    <row r="541" spans="5:6" ht="21" customHeight="1" x14ac:dyDescent="0.4">
      <c r="E541" s="476"/>
      <c r="F541" s="476"/>
    </row>
    <row r="542" spans="5:6" ht="21" customHeight="1" x14ac:dyDescent="0.4">
      <c r="E542" s="476"/>
      <c r="F542" s="476"/>
    </row>
    <row r="543" spans="5:6" ht="21" customHeight="1" x14ac:dyDescent="0.4">
      <c r="E543" s="476"/>
      <c r="F543" s="476"/>
    </row>
    <row r="544" spans="5:6" ht="21" customHeight="1" x14ac:dyDescent="0.4">
      <c r="E544" s="476"/>
      <c r="F544" s="476"/>
    </row>
    <row r="545" spans="5:6" ht="21" customHeight="1" x14ac:dyDescent="0.4">
      <c r="E545" s="476"/>
      <c r="F545" s="476"/>
    </row>
    <row r="546" spans="5:6" ht="21" customHeight="1" x14ac:dyDescent="0.4">
      <c r="E546" s="476"/>
      <c r="F546" s="476"/>
    </row>
    <row r="547" spans="5:6" ht="21" customHeight="1" x14ac:dyDescent="0.4">
      <c r="E547" s="476"/>
      <c r="F547" s="476"/>
    </row>
    <row r="548" spans="5:6" ht="21" customHeight="1" x14ac:dyDescent="0.4">
      <c r="E548" s="476"/>
      <c r="F548" s="476"/>
    </row>
    <row r="549" spans="5:6" ht="21" customHeight="1" x14ac:dyDescent="0.4">
      <c r="E549" s="476"/>
      <c r="F549" s="476"/>
    </row>
    <row r="550" spans="5:6" ht="21" customHeight="1" x14ac:dyDescent="0.4">
      <c r="E550" s="476"/>
      <c r="F550" s="476"/>
    </row>
    <row r="551" spans="5:6" ht="21" customHeight="1" x14ac:dyDescent="0.4">
      <c r="E551" s="476"/>
      <c r="F551" s="476"/>
    </row>
    <row r="552" spans="5:6" ht="21" customHeight="1" x14ac:dyDescent="0.4">
      <c r="E552" s="476"/>
      <c r="F552" s="476"/>
    </row>
    <row r="553" spans="5:6" ht="21" customHeight="1" x14ac:dyDescent="0.4">
      <c r="E553" s="476"/>
      <c r="F553" s="476"/>
    </row>
    <row r="554" spans="5:6" ht="21" customHeight="1" x14ac:dyDescent="0.4">
      <c r="E554" s="476"/>
      <c r="F554" s="476"/>
    </row>
    <row r="555" spans="5:6" ht="21" customHeight="1" x14ac:dyDescent="0.4">
      <c r="E555" s="476"/>
      <c r="F555" s="476"/>
    </row>
    <row r="556" spans="5:6" ht="21" customHeight="1" x14ac:dyDescent="0.4">
      <c r="E556" s="476"/>
      <c r="F556" s="476"/>
    </row>
    <row r="557" spans="5:6" ht="21" customHeight="1" x14ac:dyDescent="0.4">
      <c r="E557" s="476"/>
      <c r="F557" s="476"/>
    </row>
    <row r="558" spans="5:6" ht="21" customHeight="1" x14ac:dyDescent="0.4">
      <c r="E558" s="476"/>
      <c r="F558" s="476"/>
    </row>
    <row r="559" spans="5:6" ht="21" customHeight="1" x14ac:dyDescent="0.4">
      <c r="E559" s="476"/>
      <c r="F559" s="476"/>
    </row>
    <row r="560" spans="5:6" ht="21" customHeight="1" x14ac:dyDescent="0.4">
      <c r="E560" s="476"/>
      <c r="F560" s="476"/>
    </row>
    <row r="561" spans="5:6" ht="21" customHeight="1" x14ac:dyDescent="0.4">
      <c r="E561" s="476"/>
      <c r="F561" s="476"/>
    </row>
    <row r="562" spans="5:6" ht="21" customHeight="1" x14ac:dyDescent="0.4">
      <c r="E562" s="476"/>
      <c r="F562" s="476"/>
    </row>
    <row r="563" spans="5:6" ht="21" customHeight="1" x14ac:dyDescent="0.4">
      <c r="E563" s="476"/>
      <c r="F563" s="476"/>
    </row>
    <row r="564" spans="5:6" ht="21" customHeight="1" x14ac:dyDescent="0.4">
      <c r="E564" s="476"/>
      <c r="F564" s="476"/>
    </row>
    <row r="565" spans="5:6" ht="21" customHeight="1" x14ac:dyDescent="0.4">
      <c r="E565" s="476"/>
      <c r="F565" s="476"/>
    </row>
    <row r="566" spans="5:6" ht="21" customHeight="1" x14ac:dyDescent="0.4">
      <c r="E566" s="476"/>
      <c r="F566" s="476"/>
    </row>
    <row r="567" spans="5:6" ht="21" customHeight="1" x14ac:dyDescent="0.4">
      <c r="E567" s="476"/>
      <c r="F567" s="476"/>
    </row>
    <row r="568" spans="5:6" ht="21" customHeight="1" x14ac:dyDescent="0.4">
      <c r="E568" s="476"/>
      <c r="F568" s="476"/>
    </row>
    <row r="569" spans="5:6" ht="21" customHeight="1" x14ac:dyDescent="0.4">
      <c r="E569" s="476"/>
      <c r="F569" s="476"/>
    </row>
    <row r="570" spans="5:6" ht="21" customHeight="1" x14ac:dyDescent="0.4">
      <c r="E570" s="476"/>
      <c r="F570" s="476"/>
    </row>
    <row r="571" spans="5:6" ht="21" customHeight="1" x14ac:dyDescent="0.4">
      <c r="E571" s="476"/>
      <c r="F571" s="476"/>
    </row>
    <row r="572" spans="5:6" ht="21" customHeight="1" x14ac:dyDescent="0.4">
      <c r="E572" s="476"/>
      <c r="F572" s="476"/>
    </row>
    <row r="573" spans="5:6" ht="21" customHeight="1" x14ac:dyDescent="0.4">
      <c r="E573" s="476"/>
      <c r="F573" s="476"/>
    </row>
    <row r="574" spans="5:6" ht="21" customHeight="1" x14ac:dyDescent="0.4">
      <c r="E574" s="476"/>
      <c r="F574" s="476"/>
    </row>
    <row r="575" spans="5:6" ht="21" customHeight="1" x14ac:dyDescent="0.4">
      <c r="E575" s="476"/>
      <c r="F575" s="476"/>
    </row>
    <row r="576" spans="5:6" ht="21" customHeight="1" x14ac:dyDescent="0.4">
      <c r="E576" s="476"/>
      <c r="F576" s="476"/>
    </row>
    <row r="577" spans="5:6" ht="21" customHeight="1" x14ac:dyDescent="0.4">
      <c r="E577" s="476"/>
      <c r="F577" s="476"/>
    </row>
    <row r="578" spans="5:6" ht="21" customHeight="1" x14ac:dyDescent="0.4">
      <c r="E578" s="476"/>
      <c r="F578" s="476"/>
    </row>
    <row r="579" spans="5:6" ht="21" customHeight="1" x14ac:dyDescent="0.4">
      <c r="E579" s="476"/>
      <c r="F579" s="476"/>
    </row>
    <row r="580" spans="5:6" ht="21" customHeight="1" x14ac:dyDescent="0.4">
      <c r="E580" s="476"/>
      <c r="F580" s="476"/>
    </row>
    <row r="581" spans="5:6" ht="21" customHeight="1" x14ac:dyDescent="0.4">
      <c r="E581" s="476"/>
      <c r="F581" s="476"/>
    </row>
    <row r="582" spans="5:6" ht="21" customHeight="1" x14ac:dyDescent="0.4">
      <c r="E582" s="476"/>
      <c r="F582" s="476"/>
    </row>
    <row r="583" spans="5:6" ht="21" customHeight="1" x14ac:dyDescent="0.4">
      <c r="E583" s="476"/>
      <c r="F583" s="476"/>
    </row>
    <row r="584" spans="5:6" ht="21" customHeight="1" x14ac:dyDescent="0.4">
      <c r="E584" s="476"/>
      <c r="F584" s="476"/>
    </row>
    <row r="585" spans="5:6" ht="21" customHeight="1" x14ac:dyDescent="0.4">
      <c r="E585" s="476"/>
      <c r="F585" s="476"/>
    </row>
    <row r="586" spans="5:6" ht="21" customHeight="1" x14ac:dyDescent="0.4">
      <c r="E586" s="476"/>
      <c r="F586" s="476"/>
    </row>
    <row r="587" spans="5:6" ht="21" customHeight="1" x14ac:dyDescent="0.4">
      <c r="E587" s="476"/>
      <c r="F587" s="476"/>
    </row>
    <row r="588" spans="5:6" ht="21" customHeight="1" x14ac:dyDescent="0.4">
      <c r="E588" s="476"/>
      <c r="F588" s="476"/>
    </row>
    <row r="589" spans="5:6" ht="21" customHeight="1" x14ac:dyDescent="0.4">
      <c r="E589" s="476"/>
      <c r="F589" s="476"/>
    </row>
    <row r="590" spans="5:6" ht="21" customHeight="1" x14ac:dyDescent="0.4">
      <c r="E590" s="476"/>
      <c r="F590" s="476"/>
    </row>
    <row r="591" spans="5:6" ht="21" customHeight="1" x14ac:dyDescent="0.4">
      <c r="E591" s="476"/>
      <c r="F591" s="476"/>
    </row>
    <row r="592" spans="5:6" ht="21" customHeight="1" x14ac:dyDescent="0.4">
      <c r="E592" s="476"/>
      <c r="F592" s="476"/>
    </row>
    <row r="593" spans="5:6" ht="21" customHeight="1" x14ac:dyDescent="0.4">
      <c r="E593" s="476"/>
      <c r="F593" s="476"/>
    </row>
    <row r="594" spans="5:6" ht="21" customHeight="1" x14ac:dyDescent="0.4">
      <c r="E594" s="476"/>
      <c r="F594" s="476"/>
    </row>
    <row r="595" spans="5:6" ht="21" customHeight="1" x14ac:dyDescent="0.4">
      <c r="E595" s="476"/>
      <c r="F595" s="476"/>
    </row>
    <row r="596" spans="5:6" ht="21" customHeight="1" x14ac:dyDescent="0.4">
      <c r="E596" s="476"/>
      <c r="F596" s="476"/>
    </row>
    <row r="597" spans="5:6" ht="21" customHeight="1" x14ac:dyDescent="0.4">
      <c r="E597" s="476"/>
      <c r="F597" s="476"/>
    </row>
    <row r="598" spans="5:6" ht="21" customHeight="1" x14ac:dyDescent="0.4">
      <c r="E598" s="476"/>
      <c r="F598" s="476"/>
    </row>
    <row r="599" spans="5:6" ht="21" customHeight="1" x14ac:dyDescent="0.4">
      <c r="E599" s="476"/>
      <c r="F599" s="476"/>
    </row>
    <row r="600" spans="5:6" ht="21" customHeight="1" x14ac:dyDescent="0.4">
      <c r="E600" s="476"/>
      <c r="F600" s="476"/>
    </row>
    <row r="601" spans="5:6" ht="21" customHeight="1" x14ac:dyDescent="0.4">
      <c r="E601" s="476"/>
      <c r="F601" s="476"/>
    </row>
    <row r="602" spans="5:6" ht="21" customHeight="1" x14ac:dyDescent="0.4">
      <c r="E602" s="476"/>
      <c r="F602" s="476"/>
    </row>
    <row r="603" spans="5:6" ht="21" customHeight="1" x14ac:dyDescent="0.4">
      <c r="E603" s="476"/>
      <c r="F603" s="476"/>
    </row>
    <row r="604" spans="5:6" ht="21" customHeight="1" x14ac:dyDescent="0.4">
      <c r="E604" s="476"/>
      <c r="F604" s="476"/>
    </row>
    <row r="605" spans="5:6" ht="21" customHeight="1" x14ac:dyDescent="0.4">
      <c r="E605" s="476"/>
      <c r="F605" s="476"/>
    </row>
    <row r="606" spans="5:6" ht="21" customHeight="1" x14ac:dyDescent="0.4">
      <c r="E606" s="476"/>
      <c r="F606" s="476"/>
    </row>
    <row r="607" spans="5:6" ht="21" customHeight="1" x14ac:dyDescent="0.4">
      <c r="E607" s="476"/>
      <c r="F607" s="476"/>
    </row>
    <row r="608" spans="5:6" ht="21" customHeight="1" x14ac:dyDescent="0.4">
      <c r="E608" s="476"/>
      <c r="F608" s="476"/>
    </row>
    <row r="609" spans="5:6" ht="21" customHeight="1" x14ac:dyDescent="0.4">
      <c r="E609" s="476"/>
      <c r="F609" s="476"/>
    </row>
    <row r="610" spans="5:6" ht="21" customHeight="1" x14ac:dyDescent="0.4">
      <c r="E610" s="476"/>
      <c r="F610" s="476"/>
    </row>
    <row r="611" spans="5:6" ht="21" customHeight="1" x14ac:dyDescent="0.4">
      <c r="E611" s="476"/>
      <c r="F611" s="476"/>
    </row>
    <row r="612" spans="5:6" ht="21" customHeight="1" x14ac:dyDescent="0.4">
      <c r="E612" s="476"/>
      <c r="F612" s="476"/>
    </row>
    <row r="613" spans="5:6" ht="21" customHeight="1" x14ac:dyDescent="0.4">
      <c r="E613" s="476"/>
      <c r="F613" s="476"/>
    </row>
    <row r="614" spans="5:6" ht="21" customHeight="1" x14ac:dyDescent="0.4">
      <c r="E614" s="476"/>
      <c r="F614" s="476"/>
    </row>
    <row r="615" spans="5:6" ht="21" customHeight="1" x14ac:dyDescent="0.4">
      <c r="E615" s="476"/>
      <c r="F615" s="476"/>
    </row>
    <row r="616" spans="5:6" ht="21" customHeight="1" x14ac:dyDescent="0.4">
      <c r="E616" s="476"/>
      <c r="F616" s="476"/>
    </row>
    <row r="617" spans="5:6" ht="21" customHeight="1" x14ac:dyDescent="0.4">
      <c r="E617" s="476"/>
      <c r="F617" s="476"/>
    </row>
    <row r="618" spans="5:6" ht="21" customHeight="1" x14ac:dyDescent="0.4">
      <c r="E618" s="476"/>
      <c r="F618" s="476"/>
    </row>
    <row r="619" spans="5:6" ht="21" customHeight="1" x14ac:dyDescent="0.4">
      <c r="E619" s="476"/>
      <c r="F619" s="476"/>
    </row>
    <row r="620" spans="5:6" ht="21" customHeight="1" x14ac:dyDescent="0.4">
      <c r="E620" s="476"/>
      <c r="F620" s="476"/>
    </row>
    <row r="621" spans="5:6" ht="21" customHeight="1" x14ac:dyDescent="0.4">
      <c r="E621" s="476"/>
      <c r="F621" s="476"/>
    </row>
    <row r="622" spans="5:6" ht="21" customHeight="1" x14ac:dyDescent="0.4">
      <c r="E622" s="476"/>
      <c r="F622" s="476"/>
    </row>
    <row r="623" spans="5:6" ht="21" customHeight="1" x14ac:dyDescent="0.4">
      <c r="E623" s="476"/>
      <c r="F623" s="476"/>
    </row>
    <row r="624" spans="5:6" ht="21" customHeight="1" x14ac:dyDescent="0.4">
      <c r="E624" s="476"/>
      <c r="F624" s="476"/>
    </row>
    <row r="625" spans="5:6" ht="21" customHeight="1" x14ac:dyDescent="0.4">
      <c r="E625" s="476"/>
      <c r="F625" s="476"/>
    </row>
    <row r="626" spans="5:6" ht="21" customHeight="1" x14ac:dyDescent="0.4">
      <c r="E626" s="476"/>
      <c r="F626" s="476"/>
    </row>
    <row r="627" spans="5:6" ht="21" customHeight="1" x14ac:dyDescent="0.4">
      <c r="E627" s="476"/>
      <c r="F627" s="476"/>
    </row>
    <row r="628" spans="5:6" ht="21" customHeight="1" x14ac:dyDescent="0.4">
      <c r="E628" s="476"/>
      <c r="F628" s="476"/>
    </row>
    <row r="629" spans="5:6" ht="21" customHeight="1" x14ac:dyDescent="0.4">
      <c r="E629" s="476"/>
      <c r="F629" s="476"/>
    </row>
    <row r="630" spans="5:6" ht="21" customHeight="1" x14ac:dyDescent="0.4">
      <c r="E630" s="476"/>
      <c r="F630" s="476"/>
    </row>
    <row r="631" spans="5:6" ht="21" customHeight="1" x14ac:dyDescent="0.4">
      <c r="E631" s="476"/>
      <c r="F631" s="476"/>
    </row>
    <row r="632" spans="5:6" ht="21" customHeight="1" x14ac:dyDescent="0.4">
      <c r="E632" s="476"/>
      <c r="F632" s="476"/>
    </row>
    <row r="633" spans="5:6" ht="21" customHeight="1" x14ac:dyDescent="0.4">
      <c r="E633" s="476"/>
      <c r="F633" s="476"/>
    </row>
    <row r="634" spans="5:6" ht="21" customHeight="1" x14ac:dyDescent="0.4">
      <c r="E634" s="476"/>
      <c r="F634" s="476"/>
    </row>
    <row r="635" spans="5:6" ht="21" customHeight="1" x14ac:dyDescent="0.4">
      <c r="E635" s="476"/>
      <c r="F635" s="476"/>
    </row>
    <row r="636" spans="5:6" ht="21" customHeight="1" x14ac:dyDescent="0.4">
      <c r="E636" s="476"/>
      <c r="F636" s="476"/>
    </row>
    <row r="637" spans="5:6" ht="21" customHeight="1" x14ac:dyDescent="0.4">
      <c r="E637" s="476"/>
      <c r="F637" s="476"/>
    </row>
    <row r="638" spans="5:6" ht="21" customHeight="1" x14ac:dyDescent="0.4">
      <c r="E638" s="476"/>
      <c r="F638" s="476"/>
    </row>
    <row r="639" spans="5:6" ht="21" customHeight="1" x14ac:dyDescent="0.4">
      <c r="E639" s="476"/>
      <c r="F639" s="476"/>
    </row>
    <row r="640" spans="5:6" ht="21" customHeight="1" x14ac:dyDescent="0.4">
      <c r="E640" s="476"/>
      <c r="F640" s="476"/>
    </row>
    <row r="641" spans="5:6" ht="21" customHeight="1" x14ac:dyDescent="0.4">
      <c r="E641" s="476"/>
      <c r="F641" s="476"/>
    </row>
    <row r="642" spans="5:6" ht="21" customHeight="1" x14ac:dyDescent="0.4">
      <c r="E642" s="476"/>
      <c r="F642" s="476"/>
    </row>
    <row r="643" spans="5:6" ht="21" customHeight="1" x14ac:dyDescent="0.4">
      <c r="E643" s="476"/>
      <c r="F643" s="476"/>
    </row>
    <row r="644" spans="5:6" ht="21" customHeight="1" x14ac:dyDescent="0.4">
      <c r="E644" s="476"/>
      <c r="F644" s="476"/>
    </row>
    <row r="645" spans="5:6" ht="21" customHeight="1" x14ac:dyDescent="0.4">
      <c r="E645" s="476"/>
      <c r="F645" s="476"/>
    </row>
    <row r="646" spans="5:6" ht="21" customHeight="1" x14ac:dyDescent="0.4">
      <c r="E646" s="476"/>
      <c r="F646" s="476"/>
    </row>
    <row r="647" spans="5:6" ht="21" customHeight="1" x14ac:dyDescent="0.4">
      <c r="E647" s="476"/>
      <c r="F647" s="476"/>
    </row>
    <row r="648" spans="5:6" ht="21" customHeight="1" x14ac:dyDescent="0.4">
      <c r="E648" s="476"/>
      <c r="F648" s="476"/>
    </row>
    <row r="649" spans="5:6" ht="21" customHeight="1" x14ac:dyDescent="0.4">
      <c r="E649" s="476"/>
      <c r="F649" s="476"/>
    </row>
    <row r="650" spans="5:6" ht="21" customHeight="1" x14ac:dyDescent="0.4">
      <c r="E650" s="476"/>
      <c r="F650" s="476"/>
    </row>
    <row r="651" spans="5:6" ht="21" customHeight="1" x14ac:dyDescent="0.4">
      <c r="E651" s="476"/>
      <c r="F651" s="476"/>
    </row>
    <row r="652" spans="5:6" ht="21" customHeight="1" x14ac:dyDescent="0.4">
      <c r="E652" s="476"/>
      <c r="F652" s="476"/>
    </row>
    <row r="653" spans="5:6" ht="21" customHeight="1" x14ac:dyDescent="0.4">
      <c r="E653" s="476"/>
      <c r="F653" s="476"/>
    </row>
    <row r="654" spans="5:6" ht="21" customHeight="1" x14ac:dyDescent="0.4">
      <c r="E654" s="476"/>
      <c r="F654" s="476"/>
    </row>
    <row r="655" spans="5:6" ht="21" customHeight="1" x14ac:dyDescent="0.4">
      <c r="E655" s="476"/>
      <c r="F655" s="476"/>
    </row>
    <row r="656" spans="5:6" ht="21" customHeight="1" x14ac:dyDescent="0.4">
      <c r="E656" s="476"/>
      <c r="F656" s="476"/>
    </row>
    <row r="657" spans="5:6" ht="21" customHeight="1" x14ac:dyDescent="0.4">
      <c r="E657" s="476"/>
      <c r="F657" s="476"/>
    </row>
    <row r="658" spans="5:6" ht="21" customHeight="1" x14ac:dyDescent="0.4">
      <c r="E658" s="476"/>
      <c r="F658" s="476"/>
    </row>
    <row r="659" spans="5:6" ht="21" customHeight="1" x14ac:dyDescent="0.4">
      <c r="E659" s="476"/>
      <c r="F659" s="476"/>
    </row>
    <row r="660" spans="5:6" ht="21" customHeight="1" x14ac:dyDescent="0.4">
      <c r="E660" s="476"/>
      <c r="F660" s="476"/>
    </row>
    <row r="661" spans="5:6" ht="21" customHeight="1" x14ac:dyDescent="0.4">
      <c r="E661" s="476"/>
      <c r="F661" s="476"/>
    </row>
    <row r="662" spans="5:6" ht="21" customHeight="1" x14ac:dyDescent="0.4">
      <c r="E662" s="476"/>
      <c r="F662" s="476"/>
    </row>
    <row r="663" spans="5:6" ht="21" customHeight="1" x14ac:dyDescent="0.4">
      <c r="E663" s="476"/>
      <c r="F663" s="476"/>
    </row>
    <row r="664" spans="5:6" ht="21" customHeight="1" x14ac:dyDescent="0.4">
      <c r="E664" s="476"/>
      <c r="F664" s="476"/>
    </row>
    <row r="665" spans="5:6" ht="21" customHeight="1" x14ac:dyDescent="0.4">
      <c r="E665" s="476"/>
      <c r="F665" s="476"/>
    </row>
    <row r="666" spans="5:6" ht="21" customHeight="1" x14ac:dyDescent="0.4">
      <c r="E666" s="476"/>
      <c r="F666" s="476"/>
    </row>
    <row r="667" spans="5:6" ht="21" customHeight="1" x14ac:dyDescent="0.4">
      <c r="E667" s="476"/>
      <c r="F667" s="476"/>
    </row>
    <row r="668" spans="5:6" ht="21" customHeight="1" x14ac:dyDescent="0.4">
      <c r="E668" s="476"/>
      <c r="F668" s="476"/>
    </row>
    <row r="669" spans="5:6" ht="21" customHeight="1" x14ac:dyDescent="0.4">
      <c r="E669" s="476"/>
      <c r="F669" s="476"/>
    </row>
    <row r="670" spans="5:6" ht="21" customHeight="1" x14ac:dyDescent="0.4">
      <c r="E670" s="476"/>
      <c r="F670" s="476"/>
    </row>
    <row r="671" spans="5:6" ht="21" customHeight="1" x14ac:dyDescent="0.4">
      <c r="E671" s="476"/>
      <c r="F671" s="476"/>
    </row>
    <row r="672" spans="5:6" ht="21" customHeight="1" x14ac:dyDescent="0.4">
      <c r="E672" s="476"/>
      <c r="F672" s="476"/>
    </row>
    <row r="673" spans="5:6" ht="21" customHeight="1" x14ac:dyDescent="0.4">
      <c r="E673" s="476"/>
      <c r="F673" s="476"/>
    </row>
    <row r="674" spans="5:6" ht="21" customHeight="1" x14ac:dyDescent="0.4">
      <c r="E674" s="476"/>
      <c r="F674" s="476"/>
    </row>
    <row r="675" spans="5:6" ht="21" customHeight="1" x14ac:dyDescent="0.4">
      <c r="E675" s="476"/>
      <c r="F675" s="476"/>
    </row>
    <row r="676" spans="5:6" ht="21" customHeight="1" x14ac:dyDescent="0.4">
      <c r="E676" s="476"/>
      <c r="F676" s="476"/>
    </row>
    <row r="677" spans="5:6" ht="21" customHeight="1" x14ac:dyDescent="0.4">
      <c r="E677" s="476"/>
      <c r="F677" s="476"/>
    </row>
    <row r="678" spans="5:6" ht="21" customHeight="1" x14ac:dyDescent="0.4">
      <c r="E678" s="476"/>
      <c r="F678" s="476"/>
    </row>
    <row r="679" spans="5:6" ht="21" customHeight="1" x14ac:dyDescent="0.4">
      <c r="E679" s="476"/>
      <c r="F679" s="476"/>
    </row>
    <row r="680" spans="5:6" ht="21" customHeight="1" x14ac:dyDescent="0.4">
      <c r="E680" s="476"/>
      <c r="F680" s="476"/>
    </row>
    <row r="681" spans="5:6" ht="21" customHeight="1" x14ac:dyDescent="0.4">
      <c r="E681" s="476"/>
      <c r="F681" s="476"/>
    </row>
    <row r="682" spans="5:6" ht="21" customHeight="1" x14ac:dyDescent="0.4">
      <c r="E682" s="476"/>
      <c r="F682" s="476"/>
    </row>
    <row r="683" spans="5:6" ht="21" customHeight="1" x14ac:dyDescent="0.4">
      <c r="E683" s="476"/>
      <c r="F683" s="476"/>
    </row>
    <row r="684" spans="5:6" ht="21" customHeight="1" x14ac:dyDescent="0.4">
      <c r="E684" s="476"/>
      <c r="F684" s="476"/>
    </row>
    <row r="685" spans="5:6" ht="21" customHeight="1" x14ac:dyDescent="0.4">
      <c r="E685" s="476"/>
      <c r="F685" s="476"/>
    </row>
    <row r="686" spans="5:6" ht="21" customHeight="1" x14ac:dyDescent="0.4">
      <c r="E686" s="476"/>
      <c r="F686" s="476"/>
    </row>
    <row r="687" spans="5:6" ht="21" customHeight="1" x14ac:dyDescent="0.4">
      <c r="E687" s="476"/>
      <c r="F687" s="476"/>
    </row>
    <row r="688" spans="5:6" ht="21" customHeight="1" x14ac:dyDescent="0.4">
      <c r="E688" s="476"/>
      <c r="F688" s="476"/>
    </row>
    <row r="689" spans="5:6" ht="21" customHeight="1" x14ac:dyDescent="0.4">
      <c r="E689" s="476"/>
      <c r="F689" s="476"/>
    </row>
    <row r="690" spans="5:6" ht="21" customHeight="1" x14ac:dyDescent="0.4">
      <c r="E690" s="476"/>
      <c r="F690" s="476"/>
    </row>
    <row r="691" spans="5:6" ht="21" customHeight="1" x14ac:dyDescent="0.4">
      <c r="E691" s="476"/>
      <c r="F691" s="476"/>
    </row>
    <row r="692" spans="5:6" ht="21" customHeight="1" x14ac:dyDescent="0.4">
      <c r="E692" s="476"/>
      <c r="F692" s="476"/>
    </row>
    <row r="693" spans="5:6" ht="21" customHeight="1" x14ac:dyDescent="0.4">
      <c r="E693" s="476"/>
      <c r="F693" s="476"/>
    </row>
    <row r="694" spans="5:6" ht="21" customHeight="1" x14ac:dyDescent="0.4">
      <c r="E694" s="476"/>
      <c r="F694" s="476"/>
    </row>
    <row r="695" spans="5:6" ht="21" customHeight="1" x14ac:dyDescent="0.4">
      <c r="E695" s="476"/>
      <c r="F695" s="476"/>
    </row>
    <row r="696" spans="5:6" ht="21" customHeight="1" x14ac:dyDescent="0.4">
      <c r="E696" s="476"/>
      <c r="F696" s="476"/>
    </row>
    <row r="697" spans="5:6" ht="21" customHeight="1" x14ac:dyDescent="0.4">
      <c r="E697" s="476"/>
      <c r="F697" s="476"/>
    </row>
    <row r="698" spans="5:6" ht="21" customHeight="1" x14ac:dyDescent="0.4">
      <c r="E698" s="476"/>
      <c r="F698" s="476"/>
    </row>
    <row r="699" spans="5:6" ht="21" customHeight="1" x14ac:dyDescent="0.4">
      <c r="E699" s="476"/>
      <c r="F699" s="476"/>
    </row>
    <row r="700" spans="5:6" ht="21" customHeight="1" x14ac:dyDescent="0.4">
      <c r="E700" s="476"/>
      <c r="F700" s="476"/>
    </row>
    <row r="701" spans="5:6" ht="21" customHeight="1" x14ac:dyDescent="0.4">
      <c r="E701" s="476"/>
      <c r="F701" s="476"/>
    </row>
    <row r="702" spans="5:6" ht="21" customHeight="1" x14ac:dyDescent="0.4">
      <c r="E702" s="476"/>
      <c r="F702" s="476"/>
    </row>
    <row r="703" spans="5:6" ht="21" customHeight="1" x14ac:dyDescent="0.4">
      <c r="E703" s="476"/>
      <c r="F703" s="476"/>
    </row>
    <row r="704" spans="5:6" ht="21" customHeight="1" x14ac:dyDescent="0.4">
      <c r="E704" s="476"/>
      <c r="F704" s="476"/>
    </row>
    <row r="705" spans="5:6" ht="21" customHeight="1" x14ac:dyDescent="0.4">
      <c r="E705" s="476"/>
      <c r="F705" s="476"/>
    </row>
    <row r="706" spans="5:6" ht="21" customHeight="1" x14ac:dyDescent="0.4">
      <c r="E706" s="476"/>
      <c r="F706" s="476"/>
    </row>
    <row r="707" spans="5:6" ht="21" customHeight="1" x14ac:dyDescent="0.4">
      <c r="E707" s="476"/>
      <c r="F707" s="476"/>
    </row>
    <row r="708" spans="5:6" ht="21" customHeight="1" x14ac:dyDescent="0.4">
      <c r="E708" s="476"/>
      <c r="F708" s="476"/>
    </row>
    <row r="709" spans="5:6" ht="21" customHeight="1" x14ac:dyDescent="0.4">
      <c r="E709" s="476"/>
      <c r="F709" s="476"/>
    </row>
    <row r="710" spans="5:6" ht="21" customHeight="1" x14ac:dyDescent="0.4">
      <c r="E710" s="476"/>
      <c r="F710" s="476"/>
    </row>
    <row r="711" spans="5:6" ht="21" customHeight="1" x14ac:dyDescent="0.4">
      <c r="E711" s="476"/>
      <c r="F711" s="476"/>
    </row>
    <row r="712" spans="5:6" ht="21" customHeight="1" x14ac:dyDescent="0.4">
      <c r="E712" s="476"/>
      <c r="F712" s="476"/>
    </row>
    <row r="713" spans="5:6" ht="21" customHeight="1" x14ac:dyDescent="0.4">
      <c r="E713" s="476"/>
      <c r="F713" s="476"/>
    </row>
    <row r="714" spans="5:6" ht="21" customHeight="1" x14ac:dyDescent="0.4">
      <c r="E714" s="476"/>
      <c r="F714" s="476"/>
    </row>
    <row r="715" spans="5:6" ht="21" customHeight="1" x14ac:dyDescent="0.4">
      <c r="E715" s="476"/>
      <c r="F715" s="476"/>
    </row>
    <row r="716" spans="5:6" ht="21" customHeight="1" x14ac:dyDescent="0.4">
      <c r="E716" s="476"/>
      <c r="F716" s="476"/>
    </row>
    <row r="717" spans="5:6" ht="21" customHeight="1" x14ac:dyDescent="0.4">
      <c r="E717" s="476"/>
      <c r="F717" s="476"/>
    </row>
    <row r="718" spans="5:6" ht="21" customHeight="1" x14ac:dyDescent="0.4">
      <c r="E718" s="476"/>
      <c r="F718" s="476"/>
    </row>
    <row r="719" spans="5:6" ht="21" customHeight="1" x14ac:dyDescent="0.4">
      <c r="E719" s="476"/>
      <c r="F719" s="476"/>
    </row>
    <row r="720" spans="5:6" ht="21" customHeight="1" x14ac:dyDescent="0.4">
      <c r="E720" s="476"/>
      <c r="F720" s="476"/>
    </row>
    <row r="721" spans="5:6" ht="21" customHeight="1" x14ac:dyDescent="0.4">
      <c r="E721" s="476"/>
      <c r="F721" s="476"/>
    </row>
    <row r="722" spans="5:6" ht="21" customHeight="1" x14ac:dyDescent="0.4">
      <c r="E722" s="476"/>
      <c r="F722" s="476"/>
    </row>
    <row r="723" spans="5:6" ht="21" customHeight="1" x14ac:dyDescent="0.4">
      <c r="E723" s="476"/>
      <c r="F723" s="476"/>
    </row>
    <row r="724" spans="5:6" ht="21" customHeight="1" x14ac:dyDescent="0.4">
      <c r="E724" s="476"/>
      <c r="F724" s="476"/>
    </row>
    <row r="725" spans="5:6" ht="21" customHeight="1" x14ac:dyDescent="0.4">
      <c r="E725" s="476"/>
      <c r="F725" s="476"/>
    </row>
    <row r="726" spans="5:6" ht="21" customHeight="1" x14ac:dyDescent="0.4">
      <c r="E726" s="476"/>
      <c r="F726" s="476"/>
    </row>
    <row r="727" spans="5:6" ht="21" customHeight="1" x14ac:dyDescent="0.4">
      <c r="E727" s="476"/>
      <c r="F727" s="476"/>
    </row>
    <row r="728" spans="5:6" ht="21" customHeight="1" x14ac:dyDescent="0.4">
      <c r="E728" s="476"/>
      <c r="F728" s="476"/>
    </row>
    <row r="729" spans="5:6" ht="21" customHeight="1" x14ac:dyDescent="0.4">
      <c r="E729" s="476"/>
      <c r="F729" s="476"/>
    </row>
    <row r="730" spans="5:6" ht="21" customHeight="1" x14ac:dyDescent="0.4">
      <c r="E730" s="476"/>
      <c r="F730" s="476"/>
    </row>
    <row r="731" spans="5:6" ht="21" customHeight="1" x14ac:dyDescent="0.4">
      <c r="E731" s="476"/>
      <c r="F731" s="476"/>
    </row>
    <row r="732" spans="5:6" ht="21" customHeight="1" x14ac:dyDescent="0.4">
      <c r="E732" s="476"/>
      <c r="F732" s="476"/>
    </row>
    <row r="733" spans="5:6" ht="21" customHeight="1" x14ac:dyDescent="0.4">
      <c r="E733" s="476"/>
      <c r="F733" s="476"/>
    </row>
    <row r="734" spans="5:6" ht="21" customHeight="1" x14ac:dyDescent="0.4">
      <c r="E734" s="476"/>
      <c r="F734" s="476"/>
    </row>
    <row r="735" spans="5:6" ht="21" customHeight="1" x14ac:dyDescent="0.4">
      <c r="E735" s="476"/>
      <c r="F735" s="476"/>
    </row>
    <row r="736" spans="5:6" ht="21" customHeight="1" x14ac:dyDescent="0.4">
      <c r="E736" s="476"/>
      <c r="F736" s="476"/>
    </row>
    <row r="737" spans="5:6" ht="21" customHeight="1" x14ac:dyDescent="0.4">
      <c r="E737" s="476"/>
      <c r="F737" s="476"/>
    </row>
    <row r="738" spans="5:6" ht="21" customHeight="1" x14ac:dyDescent="0.4">
      <c r="E738" s="476"/>
      <c r="F738" s="476"/>
    </row>
    <row r="739" spans="5:6" ht="21" customHeight="1" x14ac:dyDescent="0.4">
      <c r="E739" s="476"/>
      <c r="F739" s="476"/>
    </row>
    <row r="740" spans="5:6" ht="21" customHeight="1" x14ac:dyDescent="0.4">
      <c r="E740" s="476"/>
      <c r="F740" s="476"/>
    </row>
    <row r="741" spans="5:6" ht="21" customHeight="1" x14ac:dyDescent="0.4">
      <c r="E741" s="476"/>
      <c r="F741" s="476"/>
    </row>
    <row r="742" spans="5:6" ht="21" customHeight="1" x14ac:dyDescent="0.4">
      <c r="E742" s="476"/>
      <c r="F742" s="476"/>
    </row>
    <row r="743" spans="5:6" ht="21" customHeight="1" x14ac:dyDescent="0.4">
      <c r="E743" s="476"/>
      <c r="F743" s="476"/>
    </row>
    <row r="744" spans="5:6" ht="21" customHeight="1" x14ac:dyDescent="0.4">
      <c r="E744" s="476"/>
      <c r="F744" s="476"/>
    </row>
    <row r="745" spans="5:6" ht="21" customHeight="1" x14ac:dyDescent="0.4">
      <c r="E745" s="476"/>
      <c r="F745" s="476"/>
    </row>
    <row r="746" spans="5:6" ht="21" customHeight="1" x14ac:dyDescent="0.4">
      <c r="E746" s="476"/>
      <c r="F746" s="476"/>
    </row>
    <row r="747" spans="5:6" ht="21" customHeight="1" x14ac:dyDescent="0.4">
      <c r="E747" s="476"/>
      <c r="F747" s="476"/>
    </row>
    <row r="748" spans="5:6" ht="21" customHeight="1" x14ac:dyDescent="0.4">
      <c r="E748" s="476"/>
      <c r="F748" s="476"/>
    </row>
    <row r="749" spans="5:6" ht="21" customHeight="1" x14ac:dyDescent="0.4">
      <c r="E749" s="476"/>
      <c r="F749" s="476"/>
    </row>
    <row r="750" spans="5:6" ht="21" customHeight="1" x14ac:dyDescent="0.4">
      <c r="E750" s="476"/>
      <c r="F750" s="476"/>
    </row>
    <row r="751" spans="5:6" ht="21" customHeight="1" x14ac:dyDescent="0.4">
      <c r="E751" s="476"/>
      <c r="F751" s="476"/>
    </row>
    <row r="752" spans="5:6" ht="21" customHeight="1" x14ac:dyDescent="0.4">
      <c r="E752" s="476"/>
      <c r="F752" s="476"/>
    </row>
    <row r="753" spans="5:6" ht="21" customHeight="1" x14ac:dyDescent="0.4">
      <c r="E753" s="476"/>
      <c r="F753" s="476"/>
    </row>
    <row r="754" spans="5:6" ht="21" customHeight="1" x14ac:dyDescent="0.4">
      <c r="E754" s="476"/>
      <c r="F754" s="476"/>
    </row>
    <row r="755" spans="5:6" ht="21" customHeight="1" x14ac:dyDescent="0.4">
      <c r="E755" s="476"/>
      <c r="F755" s="476"/>
    </row>
    <row r="756" spans="5:6" ht="21" customHeight="1" x14ac:dyDescent="0.4">
      <c r="E756" s="476"/>
      <c r="F756" s="476"/>
    </row>
    <row r="757" spans="5:6" ht="21" customHeight="1" x14ac:dyDescent="0.4">
      <c r="E757" s="476"/>
      <c r="F757" s="476"/>
    </row>
    <row r="758" spans="5:6" ht="21" customHeight="1" x14ac:dyDescent="0.4">
      <c r="E758" s="476"/>
      <c r="F758" s="476"/>
    </row>
    <row r="759" spans="5:6" ht="21" customHeight="1" x14ac:dyDescent="0.4">
      <c r="E759" s="476"/>
      <c r="F759" s="476"/>
    </row>
    <row r="760" spans="5:6" ht="21" customHeight="1" x14ac:dyDescent="0.4">
      <c r="E760" s="476"/>
      <c r="F760" s="476"/>
    </row>
    <row r="761" spans="5:6" ht="21" customHeight="1" x14ac:dyDescent="0.4">
      <c r="E761" s="476"/>
      <c r="F761" s="476"/>
    </row>
    <row r="762" spans="5:6" ht="21" customHeight="1" x14ac:dyDescent="0.4">
      <c r="E762" s="476"/>
      <c r="F762" s="476"/>
    </row>
    <row r="763" spans="5:6" ht="21" customHeight="1" x14ac:dyDescent="0.4">
      <c r="E763" s="476"/>
      <c r="F763" s="476"/>
    </row>
    <row r="764" spans="5:6" ht="21" customHeight="1" x14ac:dyDescent="0.4">
      <c r="E764" s="476"/>
      <c r="F764" s="476"/>
    </row>
    <row r="765" spans="5:6" ht="21" customHeight="1" x14ac:dyDescent="0.4">
      <c r="E765" s="476"/>
      <c r="F765" s="476"/>
    </row>
    <row r="766" spans="5:6" ht="21" customHeight="1" x14ac:dyDescent="0.4">
      <c r="E766" s="476"/>
      <c r="F766" s="476"/>
    </row>
    <row r="767" spans="5:6" ht="21" customHeight="1" x14ac:dyDescent="0.4">
      <c r="E767" s="476"/>
      <c r="F767" s="476"/>
    </row>
    <row r="768" spans="5:6" ht="21" customHeight="1" x14ac:dyDescent="0.4">
      <c r="E768" s="476"/>
      <c r="F768" s="476"/>
    </row>
    <row r="769" spans="5:6" ht="21" customHeight="1" x14ac:dyDescent="0.4">
      <c r="E769" s="476"/>
      <c r="F769" s="476"/>
    </row>
    <row r="770" spans="5:6" ht="21" customHeight="1" x14ac:dyDescent="0.4">
      <c r="E770" s="476"/>
      <c r="F770" s="476"/>
    </row>
    <row r="771" spans="5:6" ht="21" customHeight="1" x14ac:dyDescent="0.4">
      <c r="E771" s="476"/>
      <c r="F771" s="476"/>
    </row>
    <row r="772" spans="5:6" ht="21" customHeight="1" x14ac:dyDescent="0.4">
      <c r="E772" s="476"/>
      <c r="F772" s="476"/>
    </row>
    <row r="773" spans="5:6" ht="21" customHeight="1" x14ac:dyDescent="0.4">
      <c r="E773" s="476"/>
      <c r="F773" s="476"/>
    </row>
    <row r="774" spans="5:6" ht="21" customHeight="1" x14ac:dyDescent="0.4">
      <c r="E774" s="476"/>
      <c r="F774" s="476"/>
    </row>
    <row r="775" spans="5:6" ht="21" customHeight="1" x14ac:dyDescent="0.4">
      <c r="E775" s="476"/>
      <c r="F775" s="476"/>
    </row>
    <row r="776" spans="5:6" ht="21" customHeight="1" x14ac:dyDescent="0.4">
      <c r="E776" s="476"/>
      <c r="F776" s="476"/>
    </row>
    <row r="777" spans="5:6" ht="21" customHeight="1" x14ac:dyDescent="0.4">
      <c r="E777" s="476"/>
      <c r="F777" s="476"/>
    </row>
    <row r="778" spans="5:6" ht="21" customHeight="1" x14ac:dyDescent="0.4">
      <c r="E778" s="476"/>
      <c r="F778" s="476"/>
    </row>
    <row r="779" spans="5:6" ht="21" customHeight="1" x14ac:dyDescent="0.4">
      <c r="E779" s="476"/>
      <c r="F779" s="476"/>
    </row>
    <row r="780" spans="5:6" ht="21" customHeight="1" x14ac:dyDescent="0.4">
      <c r="E780" s="476"/>
      <c r="F780" s="476"/>
    </row>
    <row r="781" spans="5:6" ht="21" customHeight="1" x14ac:dyDescent="0.4">
      <c r="E781" s="476"/>
      <c r="F781" s="476"/>
    </row>
    <row r="782" spans="5:6" ht="21" customHeight="1" x14ac:dyDescent="0.4">
      <c r="E782" s="476"/>
      <c r="F782" s="476"/>
    </row>
    <row r="783" spans="5:6" ht="21" customHeight="1" x14ac:dyDescent="0.4">
      <c r="E783" s="476"/>
      <c r="F783" s="476"/>
    </row>
    <row r="784" spans="5:6" ht="21" customHeight="1" x14ac:dyDescent="0.4">
      <c r="E784" s="476"/>
      <c r="F784" s="476"/>
    </row>
    <row r="785" spans="5:6" ht="21" customHeight="1" x14ac:dyDescent="0.4">
      <c r="E785" s="476"/>
      <c r="F785" s="476"/>
    </row>
    <row r="786" spans="5:6" ht="21" customHeight="1" x14ac:dyDescent="0.4">
      <c r="E786" s="476"/>
      <c r="F786" s="476"/>
    </row>
    <row r="787" spans="5:6" ht="21" customHeight="1" x14ac:dyDescent="0.4">
      <c r="E787" s="476"/>
      <c r="F787" s="476"/>
    </row>
    <row r="788" spans="5:6" ht="21" customHeight="1" x14ac:dyDescent="0.4">
      <c r="E788" s="476"/>
      <c r="F788" s="476"/>
    </row>
    <row r="789" spans="5:6" ht="21" customHeight="1" x14ac:dyDescent="0.4">
      <c r="E789" s="476"/>
      <c r="F789" s="476"/>
    </row>
    <row r="790" spans="5:6" ht="21" customHeight="1" x14ac:dyDescent="0.4">
      <c r="E790" s="476"/>
      <c r="F790" s="476"/>
    </row>
    <row r="791" spans="5:6" ht="21" customHeight="1" x14ac:dyDescent="0.4">
      <c r="E791" s="476"/>
      <c r="F791" s="476"/>
    </row>
    <row r="792" spans="5:6" ht="21" customHeight="1" x14ac:dyDescent="0.4">
      <c r="E792" s="476"/>
      <c r="F792" s="476"/>
    </row>
    <row r="793" spans="5:6" ht="21" customHeight="1" x14ac:dyDescent="0.4">
      <c r="E793" s="476"/>
      <c r="F793" s="476"/>
    </row>
    <row r="794" spans="5:6" ht="21" customHeight="1" x14ac:dyDescent="0.4">
      <c r="E794" s="476"/>
      <c r="F794" s="476"/>
    </row>
    <row r="795" spans="5:6" ht="21" customHeight="1" x14ac:dyDescent="0.4">
      <c r="E795" s="476"/>
      <c r="F795" s="476"/>
    </row>
    <row r="796" spans="5:6" ht="21" customHeight="1" x14ac:dyDescent="0.4">
      <c r="E796" s="476"/>
      <c r="F796" s="476"/>
    </row>
    <row r="797" spans="5:6" ht="21" customHeight="1" x14ac:dyDescent="0.4">
      <c r="E797" s="476"/>
      <c r="F797" s="476"/>
    </row>
    <row r="798" spans="5:6" ht="21" customHeight="1" x14ac:dyDescent="0.4">
      <c r="E798" s="476"/>
      <c r="F798" s="476"/>
    </row>
    <row r="799" spans="5:6" ht="21" customHeight="1" x14ac:dyDescent="0.4">
      <c r="E799" s="476"/>
      <c r="F799" s="476"/>
    </row>
    <row r="800" spans="5:6" ht="21" customHeight="1" x14ac:dyDescent="0.4">
      <c r="E800" s="476"/>
      <c r="F800" s="476"/>
    </row>
    <row r="801" spans="5:6" ht="21" customHeight="1" x14ac:dyDescent="0.4">
      <c r="E801" s="476"/>
      <c r="F801" s="476"/>
    </row>
    <row r="802" spans="5:6" ht="21" customHeight="1" x14ac:dyDescent="0.4">
      <c r="E802" s="476"/>
      <c r="F802" s="476"/>
    </row>
    <row r="803" spans="5:6" ht="21" customHeight="1" x14ac:dyDescent="0.4">
      <c r="E803" s="476"/>
      <c r="F803" s="476"/>
    </row>
    <row r="804" spans="5:6" ht="21" customHeight="1" x14ac:dyDescent="0.4">
      <c r="E804" s="476"/>
      <c r="F804" s="476"/>
    </row>
    <row r="805" spans="5:6" ht="21" customHeight="1" x14ac:dyDescent="0.4">
      <c r="E805" s="476"/>
      <c r="F805" s="476"/>
    </row>
    <row r="806" spans="5:6" ht="21" customHeight="1" x14ac:dyDescent="0.4">
      <c r="E806" s="476"/>
      <c r="F806" s="476"/>
    </row>
    <row r="807" spans="5:6" ht="21" customHeight="1" x14ac:dyDescent="0.4">
      <c r="E807" s="476"/>
      <c r="F807" s="476"/>
    </row>
    <row r="808" spans="5:6" ht="21" customHeight="1" x14ac:dyDescent="0.4">
      <c r="E808" s="476"/>
      <c r="F808" s="476"/>
    </row>
    <row r="809" spans="5:6" ht="21" customHeight="1" x14ac:dyDescent="0.4">
      <c r="E809" s="476"/>
      <c r="F809" s="476"/>
    </row>
    <row r="810" spans="5:6" ht="21" customHeight="1" x14ac:dyDescent="0.4">
      <c r="E810" s="476"/>
      <c r="F810" s="476"/>
    </row>
    <row r="811" spans="5:6" ht="21" customHeight="1" x14ac:dyDescent="0.4">
      <c r="E811" s="476"/>
      <c r="F811" s="476"/>
    </row>
    <row r="812" spans="5:6" ht="21" customHeight="1" x14ac:dyDescent="0.4">
      <c r="E812" s="476"/>
      <c r="F812" s="476"/>
    </row>
    <row r="813" spans="5:6" ht="21" customHeight="1" x14ac:dyDescent="0.4">
      <c r="E813" s="476"/>
      <c r="F813" s="476"/>
    </row>
    <row r="814" spans="5:6" ht="21" customHeight="1" x14ac:dyDescent="0.4">
      <c r="E814" s="476"/>
      <c r="F814" s="476"/>
    </row>
    <row r="815" spans="5:6" ht="21" customHeight="1" x14ac:dyDescent="0.4">
      <c r="E815" s="476"/>
      <c r="F815" s="476"/>
    </row>
    <row r="816" spans="5:6" ht="21" customHeight="1" x14ac:dyDescent="0.4">
      <c r="E816" s="476"/>
      <c r="F816" s="476"/>
    </row>
    <row r="817" spans="5:6" ht="21" customHeight="1" x14ac:dyDescent="0.4">
      <c r="E817" s="476"/>
      <c r="F817" s="476"/>
    </row>
    <row r="818" spans="5:6" ht="21" customHeight="1" x14ac:dyDescent="0.4">
      <c r="E818" s="476"/>
      <c r="F818" s="476"/>
    </row>
    <row r="819" spans="5:6" ht="21" customHeight="1" x14ac:dyDescent="0.4">
      <c r="E819" s="476"/>
      <c r="F819" s="476"/>
    </row>
    <row r="820" spans="5:6" ht="21" customHeight="1" x14ac:dyDescent="0.4">
      <c r="E820" s="476"/>
      <c r="F820" s="476"/>
    </row>
    <row r="821" spans="5:6" ht="21" customHeight="1" x14ac:dyDescent="0.4">
      <c r="E821" s="476"/>
      <c r="F821" s="476"/>
    </row>
    <row r="822" spans="5:6" ht="21" customHeight="1" x14ac:dyDescent="0.4">
      <c r="E822" s="476"/>
      <c r="F822" s="476"/>
    </row>
    <row r="823" spans="5:6" ht="21" customHeight="1" x14ac:dyDescent="0.4">
      <c r="E823" s="476"/>
      <c r="F823" s="476"/>
    </row>
    <row r="824" spans="5:6" ht="21" customHeight="1" x14ac:dyDescent="0.4">
      <c r="E824" s="476"/>
      <c r="F824" s="476"/>
    </row>
    <row r="825" spans="5:6" ht="21" customHeight="1" x14ac:dyDescent="0.4">
      <c r="E825" s="476"/>
      <c r="F825" s="476"/>
    </row>
    <row r="826" spans="5:6" ht="21" customHeight="1" x14ac:dyDescent="0.4">
      <c r="E826" s="476"/>
      <c r="F826" s="476"/>
    </row>
    <row r="827" spans="5:6" ht="21" customHeight="1" x14ac:dyDescent="0.4">
      <c r="E827" s="476"/>
      <c r="F827" s="476"/>
    </row>
    <row r="828" spans="5:6" ht="21" customHeight="1" x14ac:dyDescent="0.4">
      <c r="E828" s="476"/>
      <c r="F828" s="476"/>
    </row>
    <row r="829" spans="5:6" ht="21" customHeight="1" x14ac:dyDescent="0.4">
      <c r="E829" s="476"/>
      <c r="F829" s="476"/>
    </row>
    <row r="830" spans="5:6" ht="21" customHeight="1" x14ac:dyDescent="0.4">
      <c r="E830" s="476"/>
      <c r="F830" s="476"/>
    </row>
    <row r="831" spans="5:6" ht="21" customHeight="1" x14ac:dyDescent="0.4">
      <c r="E831" s="476"/>
      <c r="F831" s="476"/>
    </row>
    <row r="832" spans="5:6" ht="21" customHeight="1" x14ac:dyDescent="0.4">
      <c r="E832" s="476"/>
      <c r="F832" s="476"/>
    </row>
    <row r="833" spans="5:6" ht="21" customHeight="1" x14ac:dyDescent="0.4">
      <c r="E833" s="476"/>
      <c r="F833" s="476"/>
    </row>
    <row r="834" spans="5:6" ht="21" customHeight="1" x14ac:dyDescent="0.4">
      <c r="E834" s="476"/>
      <c r="F834" s="476"/>
    </row>
    <row r="835" spans="5:6" ht="21" customHeight="1" x14ac:dyDescent="0.4">
      <c r="E835" s="476"/>
      <c r="F835" s="476"/>
    </row>
    <row r="836" spans="5:6" ht="21" customHeight="1" x14ac:dyDescent="0.4">
      <c r="E836" s="476"/>
      <c r="F836" s="476"/>
    </row>
    <row r="837" spans="5:6" ht="21" customHeight="1" x14ac:dyDescent="0.4">
      <c r="E837" s="476"/>
      <c r="F837" s="476"/>
    </row>
    <row r="838" spans="5:6" ht="21" customHeight="1" x14ac:dyDescent="0.4">
      <c r="E838" s="476"/>
      <c r="F838" s="476"/>
    </row>
    <row r="839" spans="5:6" ht="21" customHeight="1" x14ac:dyDescent="0.4">
      <c r="E839" s="476"/>
      <c r="F839" s="476"/>
    </row>
    <row r="840" spans="5:6" ht="21" customHeight="1" x14ac:dyDescent="0.4">
      <c r="E840" s="476"/>
      <c r="F840" s="476"/>
    </row>
    <row r="841" spans="5:6" ht="21" customHeight="1" x14ac:dyDescent="0.4">
      <c r="E841" s="476"/>
      <c r="F841" s="476"/>
    </row>
    <row r="842" spans="5:6" ht="21" customHeight="1" x14ac:dyDescent="0.4">
      <c r="E842" s="476"/>
      <c r="F842" s="476"/>
    </row>
    <row r="843" spans="5:6" ht="21" customHeight="1" x14ac:dyDescent="0.4">
      <c r="E843" s="476"/>
      <c r="F843" s="476"/>
    </row>
    <row r="844" spans="5:6" ht="21" customHeight="1" x14ac:dyDescent="0.4">
      <c r="E844" s="476"/>
      <c r="F844" s="476"/>
    </row>
    <row r="845" spans="5:6" ht="21" customHeight="1" x14ac:dyDescent="0.4">
      <c r="E845" s="476"/>
      <c r="F845" s="476"/>
    </row>
    <row r="846" spans="5:6" ht="21" customHeight="1" x14ac:dyDescent="0.4">
      <c r="E846" s="476"/>
      <c r="F846" s="476"/>
    </row>
    <row r="847" spans="5:6" ht="21" customHeight="1" x14ac:dyDescent="0.4">
      <c r="E847" s="476"/>
      <c r="F847" s="476"/>
    </row>
    <row r="848" spans="5:6" ht="21" customHeight="1" x14ac:dyDescent="0.4">
      <c r="E848" s="476"/>
      <c r="F848" s="476"/>
    </row>
    <row r="849" spans="5:6" ht="21" customHeight="1" x14ac:dyDescent="0.4">
      <c r="E849" s="476"/>
      <c r="F849" s="476"/>
    </row>
    <row r="850" spans="5:6" ht="21" customHeight="1" x14ac:dyDescent="0.4">
      <c r="E850" s="476"/>
      <c r="F850" s="476"/>
    </row>
    <row r="851" spans="5:6" ht="21" customHeight="1" x14ac:dyDescent="0.4">
      <c r="E851" s="476"/>
      <c r="F851" s="476"/>
    </row>
    <row r="852" spans="5:6" ht="21" customHeight="1" x14ac:dyDescent="0.4">
      <c r="E852" s="476"/>
      <c r="F852" s="476"/>
    </row>
    <row r="853" spans="5:6" ht="21" customHeight="1" x14ac:dyDescent="0.4">
      <c r="E853" s="476"/>
      <c r="F853" s="476"/>
    </row>
    <row r="854" spans="5:6" ht="21" customHeight="1" x14ac:dyDescent="0.4">
      <c r="E854" s="476"/>
      <c r="F854" s="476"/>
    </row>
    <row r="855" spans="5:6" ht="21" customHeight="1" x14ac:dyDescent="0.4">
      <c r="E855" s="476"/>
      <c r="F855" s="476"/>
    </row>
    <row r="856" spans="5:6" ht="21" customHeight="1" x14ac:dyDescent="0.4">
      <c r="E856" s="476"/>
      <c r="F856" s="476"/>
    </row>
    <row r="857" spans="5:6" ht="21" customHeight="1" x14ac:dyDescent="0.4">
      <c r="E857" s="476"/>
      <c r="F857" s="476"/>
    </row>
    <row r="858" spans="5:6" ht="21" customHeight="1" x14ac:dyDescent="0.4">
      <c r="E858" s="476"/>
      <c r="F858" s="476"/>
    </row>
    <row r="859" spans="5:6" ht="21" customHeight="1" x14ac:dyDescent="0.4">
      <c r="E859" s="476"/>
      <c r="F859" s="476"/>
    </row>
    <row r="860" spans="5:6" ht="21" customHeight="1" x14ac:dyDescent="0.4">
      <c r="E860" s="476"/>
      <c r="F860" s="476"/>
    </row>
    <row r="861" spans="5:6" ht="21" customHeight="1" x14ac:dyDescent="0.4">
      <c r="E861" s="476"/>
      <c r="F861" s="476"/>
    </row>
    <row r="862" spans="5:6" ht="21" customHeight="1" x14ac:dyDescent="0.4">
      <c r="E862" s="476"/>
      <c r="F862" s="476"/>
    </row>
    <row r="863" spans="5:6" ht="21" customHeight="1" x14ac:dyDescent="0.4">
      <c r="E863" s="476"/>
      <c r="F863" s="476"/>
    </row>
    <row r="864" spans="5:6" ht="21" customHeight="1" x14ac:dyDescent="0.4">
      <c r="E864" s="476"/>
      <c r="F864" s="476"/>
    </row>
    <row r="865" spans="5:6" ht="21" customHeight="1" x14ac:dyDescent="0.4">
      <c r="E865" s="476"/>
      <c r="F865" s="476"/>
    </row>
    <row r="866" spans="5:6" ht="21" customHeight="1" x14ac:dyDescent="0.4">
      <c r="E866" s="476"/>
      <c r="F866" s="476"/>
    </row>
    <row r="867" spans="5:6" ht="21" customHeight="1" x14ac:dyDescent="0.4">
      <c r="E867" s="476"/>
      <c r="F867" s="476"/>
    </row>
    <row r="868" spans="5:6" ht="21" customHeight="1" x14ac:dyDescent="0.4">
      <c r="E868" s="476"/>
      <c r="F868" s="476"/>
    </row>
    <row r="869" spans="5:6" ht="21" customHeight="1" x14ac:dyDescent="0.4">
      <c r="E869" s="476"/>
      <c r="F869" s="476"/>
    </row>
    <row r="870" spans="5:6" ht="21" customHeight="1" x14ac:dyDescent="0.4">
      <c r="E870" s="476"/>
      <c r="F870" s="476"/>
    </row>
    <row r="871" spans="5:6" ht="21" customHeight="1" x14ac:dyDescent="0.4">
      <c r="E871" s="476"/>
      <c r="F871" s="476"/>
    </row>
    <row r="872" spans="5:6" ht="21" customHeight="1" x14ac:dyDescent="0.4">
      <c r="E872" s="476"/>
      <c r="F872" s="476"/>
    </row>
    <row r="873" spans="5:6" ht="21" customHeight="1" x14ac:dyDescent="0.4">
      <c r="E873" s="476"/>
      <c r="F873" s="476"/>
    </row>
    <row r="874" spans="5:6" ht="21" customHeight="1" x14ac:dyDescent="0.4">
      <c r="E874" s="476"/>
      <c r="F874" s="476"/>
    </row>
    <row r="875" spans="5:6" ht="21" customHeight="1" x14ac:dyDescent="0.4">
      <c r="E875" s="476"/>
      <c r="F875" s="476"/>
    </row>
    <row r="876" spans="5:6" ht="21" customHeight="1" x14ac:dyDescent="0.4">
      <c r="E876" s="476"/>
      <c r="F876" s="476"/>
    </row>
    <row r="877" spans="5:6" ht="21" customHeight="1" x14ac:dyDescent="0.4">
      <c r="E877" s="476"/>
      <c r="F877" s="476"/>
    </row>
    <row r="878" spans="5:6" ht="21" customHeight="1" x14ac:dyDescent="0.4">
      <c r="E878" s="476"/>
      <c r="F878" s="476"/>
    </row>
    <row r="879" spans="5:6" ht="21" customHeight="1" x14ac:dyDescent="0.4">
      <c r="E879" s="476"/>
      <c r="F879" s="476"/>
    </row>
    <row r="880" spans="5:6" ht="21" customHeight="1" x14ac:dyDescent="0.4">
      <c r="E880" s="476"/>
      <c r="F880" s="476"/>
    </row>
    <row r="881" spans="5:6" ht="21" customHeight="1" x14ac:dyDescent="0.4">
      <c r="E881" s="476"/>
      <c r="F881" s="476"/>
    </row>
    <row r="882" spans="5:6" ht="21" customHeight="1" x14ac:dyDescent="0.4">
      <c r="E882" s="476"/>
      <c r="F882" s="476"/>
    </row>
    <row r="883" spans="5:6" ht="21" customHeight="1" x14ac:dyDescent="0.4">
      <c r="E883" s="476"/>
      <c r="F883" s="476"/>
    </row>
    <row r="884" spans="5:6" ht="21" customHeight="1" x14ac:dyDescent="0.4">
      <c r="E884" s="476"/>
      <c r="F884" s="476"/>
    </row>
    <row r="885" spans="5:6" ht="21" customHeight="1" x14ac:dyDescent="0.4">
      <c r="E885" s="476"/>
      <c r="F885" s="476"/>
    </row>
    <row r="886" spans="5:6" ht="21" customHeight="1" x14ac:dyDescent="0.4">
      <c r="E886" s="476"/>
      <c r="F886" s="476"/>
    </row>
    <row r="887" spans="5:6" ht="21" customHeight="1" x14ac:dyDescent="0.4">
      <c r="E887" s="476"/>
      <c r="F887" s="476"/>
    </row>
    <row r="888" spans="5:6" ht="21" customHeight="1" x14ac:dyDescent="0.4">
      <c r="E888" s="476"/>
      <c r="F888" s="476"/>
    </row>
    <row r="889" spans="5:6" ht="21" customHeight="1" x14ac:dyDescent="0.4">
      <c r="E889" s="476"/>
      <c r="F889" s="476"/>
    </row>
    <row r="890" spans="5:6" ht="21" customHeight="1" x14ac:dyDescent="0.4">
      <c r="E890" s="476"/>
      <c r="F890" s="476"/>
    </row>
    <row r="891" spans="5:6" ht="21" customHeight="1" x14ac:dyDescent="0.4">
      <c r="E891" s="476"/>
      <c r="F891" s="476"/>
    </row>
    <row r="892" spans="5:6" ht="21" customHeight="1" x14ac:dyDescent="0.4">
      <c r="E892" s="476"/>
      <c r="F892" s="476"/>
    </row>
    <row r="893" spans="5:6" ht="21" customHeight="1" x14ac:dyDescent="0.4">
      <c r="E893" s="476"/>
      <c r="F893" s="476"/>
    </row>
    <row r="894" spans="5:6" ht="21" customHeight="1" x14ac:dyDescent="0.4">
      <c r="E894" s="476"/>
      <c r="F894" s="476"/>
    </row>
    <row r="895" spans="5:6" ht="21" customHeight="1" x14ac:dyDescent="0.4">
      <c r="E895" s="476"/>
      <c r="F895" s="476"/>
    </row>
    <row r="896" spans="5:6" ht="21" customHeight="1" x14ac:dyDescent="0.4">
      <c r="E896" s="476"/>
      <c r="F896" s="476"/>
    </row>
    <row r="897" spans="5:6" ht="21" customHeight="1" x14ac:dyDescent="0.4">
      <c r="E897" s="476"/>
      <c r="F897" s="476"/>
    </row>
    <row r="898" spans="5:6" ht="21" customHeight="1" x14ac:dyDescent="0.4">
      <c r="E898" s="476"/>
      <c r="F898" s="476"/>
    </row>
    <row r="899" spans="5:6" ht="21" customHeight="1" x14ac:dyDescent="0.4">
      <c r="E899" s="476"/>
      <c r="F899" s="476"/>
    </row>
    <row r="900" spans="5:6" ht="21" customHeight="1" x14ac:dyDescent="0.4">
      <c r="E900" s="476"/>
      <c r="F900" s="476"/>
    </row>
    <row r="901" spans="5:6" ht="21" customHeight="1" x14ac:dyDescent="0.4">
      <c r="E901" s="476"/>
      <c r="F901" s="476"/>
    </row>
    <row r="902" spans="5:6" ht="21" customHeight="1" x14ac:dyDescent="0.4">
      <c r="E902" s="476"/>
      <c r="F902" s="476"/>
    </row>
    <row r="903" spans="5:6" ht="21" customHeight="1" x14ac:dyDescent="0.4">
      <c r="E903" s="476"/>
      <c r="F903" s="476"/>
    </row>
    <row r="904" spans="5:6" ht="21" customHeight="1" x14ac:dyDescent="0.4">
      <c r="E904" s="476"/>
      <c r="F904" s="476"/>
    </row>
    <row r="905" spans="5:6" ht="21" customHeight="1" x14ac:dyDescent="0.4">
      <c r="E905" s="476"/>
      <c r="F905" s="476"/>
    </row>
    <row r="906" spans="5:6" ht="21" customHeight="1" x14ac:dyDescent="0.4">
      <c r="E906" s="476"/>
      <c r="F906" s="476"/>
    </row>
    <row r="907" spans="5:6" ht="21" customHeight="1" x14ac:dyDescent="0.4">
      <c r="E907" s="476"/>
      <c r="F907" s="476"/>
    </row>
    <row r="908" spans="5:6" ht="21" customHeight="1" x14ac:dyDescent="0.4">
      <c r="E908" s="476"/>
      <c r="F908" s="476"/>
    </row>
    <row r="909" spans="5:6" ht="21" customHeight="1" x14ac:dyDescent="0.4">
      <c r="E909" s="476"/>
      <c r="F909" s="476"/>
    </row>
    <row r="910" spans="5:6" ht="21" customHeight="1" x14ac:dyDescent="0.4">
      <c r="E910" s="476"/>
      <c r="F910" s="476"/>
    </row>
    <row r="911" spans="5:6" ht="21" customHeight="1" x14ac:dyDescent="0.4">
      <c r="E911" s="476"/>
      <c r="F911" s="476"/>
    </row>
    <row r="912" spans="5:6" ht="21" customHeight="1" x14ac:dyDescent="0.4">
      <c r="E912" s="476"/>
      <c r="F912" s="476"/>
    </row>
    <row r="913" spans="5:6" ht="21" customHeight="1" x14ac:dyDescent="0.4">
      <c r="E913" s="476"/>
      <c r="F913" s="476"/>
    </row>
    <row r="914" spans="5:6" ht="21" customHeight="1" x14ac:dyDescent="0.4">
      <c r="E914" s="476"/>
      <c r="F914" s="476"/>
    </row>
    <row r="915" spans="5:6" ht="21" customHeight="1" x14ac:dyDescent="0.4">
      <c r="E915" s="476"/>
      <c r="F915" s="476"/>
    </row>
    <row r="916" spans="5:6" ht="21" customHeight="1" x14ac:dyDescent="0.4">
      <c r="E916" s="476"/>
      <c r="F916" s="476"/>
    </row>
    <row r="917" spans="5:6" ht="21" customHeight="1" x14ac:dyDescent="0.4">
      <c r="E917" s="476"/>
      <c r="F917" s="476"/>
    </row>
    <row r="918" spans="5:6" ht="21" customHeight="1" x14ac:dyDescent="0.4">
      <c r="E918" s="476"/>
      <c r="F918" s="476"/>
    </row>
    <row r="919" spans="5:6" ht="21" customHeight="1" x14ac:dyDescent="0.4">
      <c r="E919" s="476"/>
      <c r="F919" s="476"/>
    </row>
    <row r="920" spans="5:6" ht="21" customHeight="1" x14ac:dyDescent="0.4">
      <c r="E920" s="476"/>
      <c r="F920" s="476"/>
    </row>
    <row r="921" spans="5:6" ht="21" customHeight="1" x14ac:dyDescent="0.4">
      <c r="E921" s="476"/>
      <c r="F921" s="476"/>
    </row>
    <row r="922" spans="5:6" ht="21" customHeight="1" x14ac:dyDescent="0.4">
      <c r="E922" s="476"/>
      <c r="F922" s="476"/>
    </row>
    <row r="923" spans="5:6" ht="21" customHeight="1" x14ac:dyDescent="0.4">
      <c r="E923" s="476"/>
      <c r="F923" s="476"/>
    </row>
    <row r="924" spans="5:6" ht="21" customHeight="1" x14ac:dyDescent="0.4">
      <c r="E924" s="476"/>
      <c r="F924" s="476"/>
    </row>
    <row r="925" spans="5:6" ht="21" customHeight="1" x14ac:dyDescent="0.4">
      <c r="E925" s="476"/>
      <c r="F925" s="476"/>
    </row>
    <row r="926" spans="5:6" ht="21" customHeight="1" x14ac:dyDescent="0.4">
      <c r="E926" s="476"/>
      <c r="F926" s="476"/>
    </row>
    <row r="927" spans="5:6" ht="21" customHeight="1" x14ac:dyDescent="0.4">
      <c r="E927" s="476"/>
      <c r="F927" s="476"/>
    </row>
    <row r="928" spans="5:6" ht="21" customHeight="1" x14ac:dyDescent="0.4">
      <c r="E928" s="476"/>
      <c r="F928" s="476"/>
    </row>
    <row r="929" spans="5:6" ht="21" customHeight="1" x14ac:dyDescent="0.4">
      <c r="E929" s="476"/>
      <c r="F929" s="476"/>
    </row>
    <row r="930" spans="5:6" ht="21" customHeight="1" x14ac:dyDescent="0.4">
      <c r="E930" s="476"/>
      <c r="F930" s="476"/>
    </row>
    <row r="931" spans="5:6" ht="21" customHeight="1" x14ac:dyDescent="0.4">
      <c r="E931" s="476"/>
      <c r="F931" s="476"/>
    </row>
    <row r="932" spans="5:6" ht="21" customHeight="1" x14ac:dyDescent="0.4">
      <c r="E932" s="476"/>
      <c r="F932" s="476"/>
    </row>
    <row r="933" spans="5:6" ht="21" customHeight="1" x14ac:dyDescent="0.4">
      <c r="E933" s="476"/>
      <c r="F933" s="476"/>
    </row>
    <row r="934" spans="5:6" ht="21" customHeight="1" x14ac:dyDescent="0.4">
      <c r="E934" s="476"/>
      <c r="F934" s="476"/>
    </row>
    <row r="935" spans="5:6" ht="21" customHeight="1" x14ac:dyDescent="0.4">
      <c r="E935" s="476"/>
      <c r="F935" s="476"/>
    </row>
    <row r="936" spans="5:6" ht="21" customHeight="1" x14ac:dyDescent="0.4">
      <c r="E936" s="476"/>
      <c r="F936" s="476"/>
    </row>
    <row r="937" spans="5:6" ht="21" customHeight="1" x14ac:dyDescent="0.4">
      <c r="E937" s="476"/>
      <c r="F937" s="476"/>
    </row>
    <row r="938" spans="5:6" ht="21" customHeight="1" x14ac:dyDescent="0.4">
      <c r="E938" s="476"/>
      <c r="F938" s="476"/>
    </row>
    <row r="939" spans="5:6" ht="21" customHeight="1" x14ac:dyDescent="0.4">
      <c r="E939" s="476"/>
      <c r="F939" s="476"/>
    </row>
    <row r="940" spans="5:6" ht="21" customHeight="1" x14ac:dyDescent="0.4">
      <c r="E940" s="476"/>
      <c r="F940" s="476"/>
    </row>
    <row r="941" spans="5:6" ht="21" customHeight="1" x14ac:dyDescent="0.4">
      <c r="E941" s="476"/>
      <c r="F941" s="476"/>
    </row>
    <row r="942" spans="5:6" ht="21" customHeight="1" x14ac:dyDescent="0.4">
      <c r="E942" s="476"/>
      <c r="F942" s="476"/>
    </row>
    <row r="943" spans="5:6" ht="21" customHeight="1" x14ac:dyDescent="0.4">
      <c r="E943" s="476"/>
      <c r="F943" s="476"/>
    </row>
    <row r="944" spans="5:6" ht="21" customHeight="1" x14ac:dyDescent="0.4">
      <c r="E944" s="476"/>
      <c r="F944" s="476"/>
    </row>
    <row r="945" spans="5:6" ht="21" customHeight="1" x14ac:dyDescent="0.4">
      <c r="E945" s="476"/>
      <c r="F945" s="476"/>
    </row>
    <row r="946" spans="5:6" ht="21" customHeight="1" x14ac:dyDescent="0.4">
      <c r="E946" s="476"/>
      <c r="F946" s="476"/>
    </row>
    <row r="947" spans="5:6" ht="21" customHeight="1" x14ac:dyDescent="0.4">
      <c r="E947" s="476"/>
      <c r="F947" s="476"/>
    </row>
    <row r="948" spans="5:6" ht="21" customHeight="1" x14ac:dyDescent="0.4">
      <c r="E948" s="476"/>
      <c r="F948" s="476"/>
    </row>
    <row r="949" spans="5:6" ht="21" customHeight="1" x14ac:dyDescent="0.4">
      <c r="E949" s="476"/>
      <c r="F949" s="476"/>
    </row>
    <row r="950" spans="5:6" ht="21" customHeight="1" x14ac:dyDescent="0.4">
      <c r="E950" s="476"/>
      <c r="F950" s="476"/>
    </row>
    <row r="951" spans="5:6" ht="21" customHeight="1" x14ac:dyDescent="0.4">
      <c r="E951" s="476"/>
      <c r="F951" s="476"/>
    </row>
    <row r="952" spans="5:6" ht="21" customHeight="1" x14ac:dyDescent="0.4">
      <c r="E952" s="476"/>
      <c r="F952" s="476"/>
    </row>
    <row r="953" spans="5:6" ht="21" customHeight="1" x14ac:dyDescent="0.4">
      <c r="E953" s="476"/>
      <c r="F953" s="476"/>
    </row>
    <row r="954" spans="5:6" ht="21" customHeight="1" x14ac:dyDescent="0.4">
      <c r="E954" s="476"/>
      <c r="F954" s="476"/>
    </row>
    <row r="955" spans="5:6" ht="21" customHeight="1" x14ac:dyDescent="0.4">
      <c r="E955" s="476"/>
      <c r="F955" s="476"/>
    </row>
    <row r="956" spans="5:6" ht="21" customHeight="1" x14ac:dyDescent="0.4">
      <c r="E956" s="476"/>
      <c r="F956" s="476"/>
    </row>
    <row r="957" spans="5:6" ht="21" customHeight="1" x14ac:dyDescent="0.4">
      <c r="E957" s="476"/>
      <c r="F957" s="476"/>
    </row>
    <row r="958" spans="5:6" ht="21" customHeight="1" x14ac:dyDescent="0.4">
      <c r="E958" s="476"/>
      <c r="F958" s="476"/>
    </row>
    <row r="959" spans="5:6" ht="21" customHeight="1" x14ac:dyDescent="0.4">
      <c r="E959" s="476"/>
      <c r="F959" s="476"/>
    </row>
    <row r="960" spans="5:6" ht="21" customHeight="1" x14ac:dyDescent="0.4">
      <c r="E960" s="476"/>
      <c r="F960" s="476"/>
    </row>
    <row r="961" spans="5:6" ht="21" customHeight="1" x14ac:dyDescent="0.4">
      <c r="E961" s="476"/>
      <c r="F961" s="476"/>
    </row>
    <row r="962" spans="5:6" ht="21" customHeight="1" x14ac:dyDescent="0.4">
      <c r="E962" s="476"/>
      <c r="F962" s="476"/>
    </row>
    <row r="963" spans="5:6" ht="21" customHeight="1" x14ac:dyDescent="0.4">
      <c r="E963" s="476"/>
      <c r="F963" s="476"/>
    </row>
    <row r="964" spans="5:6" ht="21" customHeight="1" x14ac:dyDescent="0.4">
      <c r="E964" s="476"/>
      <c r="F964" s="476"/>
    </row>
    <row r="965" spans="5:6" ht="21" customHeight="1" x14ac:dyDescent="0.4">
      <c r="E965" s="476"/>
      <c r="F965" s="476"/>
    </row>
    <row r="966" spans="5:6" ht="21" customHeight="1" x14ac:dyDescent="0.4">
      <c r="E966" s="476"/>
      <c r="F966" s="476"/>
    </row>
    <row r="967" spans="5:6" ht="21" customHeight="1" x14ac:dyDescent="0.4">
      <c r="E967" s="476"/>
      <c r="F967" s="476"/>
    </row>
    <row r="968" spans="5:6" ht="21" customHeight="1" x14ac:dyDescent="0.4">
      <c r="E968" s="476"/>
      <c r="F968" s="476"/>
    </row>
    <row r="969" spans="5:6" ht="21" customHeight="1" x14ac:dyDescent="0.4">
      <c r="E969" s="476"/>
      <c r="F969" s="476"/>
    </row>
    <row r="970" spans="5:6" ht="21" customHeight="1" x14ac:dyDescent="0.4">
      <c r="E970" s="476"/>
      <c r="F970" s="476"/>
    </row>
    <row r="971" spans="5:6" ht="21" customHeight="1" x14ac:dyDescent="0.4">
      <c r="E971" s="476"/>
      <c r="F971" s="476"/>
    </row>
    <row r="972" spans="5:6" ht="21" customHeight="1" x14ac:dyDescent="0.4">
      <c r="E972" s="476"/>
      <c r="F972" s="476"/>
    </row>
    <row r="973" spans="5:6" ht="21" customHeight="1" x14ac:dyDescent="0.4">
      <c r="E973" s="476"/>
      <c r="F973" s="476"/>
    </row>
    <row r="974" spans="5:6" ht="21" customHeight="1" x14ac:dyDescent="0.4">
      <c r="E974" s="476"/>
      <c r="F974" s="476"/>
    </row>
    <row r="975" spans="5:6" ht="21" customHeight="1" x14ac:dyDescent="0.4">
      <c r="E975" s="476"/>
      <c r="F975" s="476"/>
    </row>
    <row r="976" spans="5:6" ht="21" customHeight="1" x14ac:dyDescent="0.4">
      <c r="E976" s="476"/>
      <c r="F976" s="476"/>
    </row>
    <row r="977" spans="5:6" ht="21" customHeight="1" x14ac:dyDescent="0.4">
      <c r="E977" s="476"/>
      <c r="F977" s="476"/>
    </row>
    <row r="978" spans="5:6" ht="21" customHeight="1" x14ac:dyDescent="0.4">
      <c r="E978" s="476"/>
      <c r="F978" s="476"/>
    </row>
    <row r="979" spans="5:6" ht="21" customHeight="1" x14ac:dyDescent="0.4">
      <c r="E979" s="476"/>
      <c r="F979" s="476"/>
    </row>
    <row r="980" spans="5:6" ht="21" customHeight="1" x14ac:dyDescent="0.4">
      <c r="E980" s="476"/>
      <c r="F980" s="476"/>
    </row>
    <row r="981" spans="5:6" ht="21" customHeight="1" x14ac:dyDescent="0.4">
      <c r="E981" s="476"/>
      <c r="F981" s="476"/>
    </row>
    <row r="982" spans="5:6" ht="21" customHeight="1" x14ac:dyDescent="0.4">
      <c r="E982" s="476"/>
      <c r="F982" s="476"/>
    </row>
    <row r="983" spans="5:6" ht="21" customHeight="1" x14ac:dyDescent="0.4">
      <c r="E983" s="476"/>
      <c r="F983" s="476"/>
    </row>
    <row r="984" spans="5:6" ht="21" customHeight="1" x14ac:dyDescent="0.4">
      <c r="E984" s="476"/>
      <c r="F984" s="476"/>
    </row>
    <row r="985" spans="5:6" ht="21" customHeight="1" x14ac:dyDescent="0.4">
      <c r="E985" s="476"/>
      <c r="F985" s="476"/>
    </row>
    <row r="986" spans="5:6" ht="21" customHeight="1" x14ac:dyDescent="0.4">
      <c r="E986" s="476"/>
      <c r="F986" s="476"/>
    </row>
    <row r="987" spans="5:6" ht="21" customHeight="1" x14ac:dyDescent="0.4">
      <c r="E987" s="476"/>
      <c r="F987" s="476"/>
    </row>
    <row r="988" spans="5:6" ht="21" customHeight="1" x14ac:dyDescent="0.4">
      <c r="E988" s="476"/>
      <c r="F988" s="476"/>
    </row>
    <row r="989" spans="5:6" ht="21" customHeight="1" x14ac:dyDescent="0.4">
      <c r="E989" s="476"/>
      <c r="F989" s="476"/>
    </row>
    <row r="990" spans="5:6" ht="21" customHeight="1" x14ac:dyDescent="0.4">
      <c r="E990" s="476"/>
      <c r="F990" s="476"/>
    </row>
    <row r="991" spans="5:6" ht="21" customHeight="1" x14ac:dyDescent="0.4">
      <c r="E991" s="476"/>
      <c r="F991" s="476"/>
    </row>
    <row r="992" spans="5:6" ht="21" customHeight="1" x14ac:dyDescent="0.4">
      <c r="E992" s="476"/>
      <c r="F992" s="476"/>
    </row>
    <row r="993" spans="5:6" ht="21" customHeight="1" x14ac:dyDescent="0.4">
      <c r="E993" s="476"/>
      <c r="F993" s="476"/>
    </row>
    <row r="994" spans="5:6" ht="21" customHeight="1" x14ac:dyDescent="0.4">
      <c r="E994" s="476"/>
      <c r="F994" s="476"/>
    </row>
    <row r="995" spans="5:6" ht="21" customHeight="1" x14ac:dyDescent="0.4">
      <c r="E995" s="476"/>
      <c r="F995" s="476"/>
    </row>
    <row r="996" spans="5:6" ht="21" customHeight="1" x14ac:dyDescent="0.4">
      <c r="E996" s="476"/>
      <c r="F996" s="476"/>
    </row>
    <row r="997" spans="5:6" ht="21" customHeight="1" x14ac:dyDescent="0.4">
      <c r="E997" s="476"/>
      <c r="F997" s="476"/>
    </row>
    <row r="998" spans="5:6" ht="21" customHeight="1" x14ac:dyDescent="0.4">
      <c r="E998" s="476"/>
      <c r="F998" s="476"/>
    </row>
    <row r="999" spans="5:6" ht="21" customHeight="1" x14ac:dyDescent="0.4">
      <c r="E999" s="476"/>
      <c r="F999" s="476"/>
    </row>
    <row r="1000" spans="5:6" ht="21" customHeight="1" x14ac:dyDescent="0.4">
      <c r="E1000" s="476"/>
      <c r="F1000" s="476"/>
    </row>
    <row r="1001" spans="5:6" ht="21" customHeight="1" x14ac:dyDescent="0.4">
      <c r="E1001" s="476"/>
      <c r="F1001" s="476"/>
    </row>
  </sheetData>
  <sheetProtection password="DEFC" sheet="1" objects="1" scenarios="1"/>
  <autoFilter ref="A2:AM211"/>
  <mergeCells count="42">
    <mergeCell ref="B195:C195"/>
    <mergeCell ref="B199:C199"/>
    <mergeCell ref="B203:C203"/>
    <mergeCell ref="B206:C206"/>
    <mergeCell ref="B209:C209"/>
    <mergeCell ref="B143:C143"/>
    <mergeCell ref="B148:C148"/>
    <mergeCell ref="B153:C153"/>
    <mergeCell ref="B186:C186"/>
    <mergeCell ref="B192:C192"/>
    <mergeCell ref="B160:C160"/>
    <mergeCell ref="B166:C166"/>
    <mergeCell ref="B171:C171"/>
    <mergeCell ref="B172:C172"/>
    <mergeCell ref="B175:C175"/>
    <mergeCell ref="B179:C179"/>
    <mergeCell ref="B184:C184"/>
    <mergeCell ref="B105:C105"/>
    <mergeCell ref="B125:C125"/>
    <mergeCell ref="B130:C130"/>
    <mergeCell ref="B131:C131"/>
    <mergeCell ref="B140:C140"/>
    <mergeCell ref="B87:C87"/>
    <mergeCell ref="B91:C91"/>
    <mergeCell ref="B92:C92"/>
    <mergeCell ref="B99:C99"/>
    <mergeCell ref="B102:C102"/>
    <mergeCell ref="B39:C39"/>
    <mergeCell ref="B44:C44"/>
    <mergeCell ref="B52:C52"/>
    <mergeCell ref="B57:C57"/>
    <mergeCell ref="B77:C77"/>
    <mergeCell ref="B23:C23"/>
    <mergeCell ref="B26:C26"/>
    <mergeCell ref="B31:C31"/>
    <mergeCell ref="B32:C32"/>
    <mergeCell ref="B36:C36"/>
    <mergeCell ref="B2:C2"/>
    <mergeCell ref="B3:C3"/>
    <mergeCell ref="B4:C4"/>
    <mergeCell ref="B12:C12"/>
    <mergeCell ref="B16:C16"/>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405"/>
  <sheetViews>
    <sheetView zoomScale="30" zoomScaleNormal="30" workbookViewId="0">
      <pane xSplit="3" ySplit="2" topLeftCell="D3" activePane="bottomRight" state="frozen"/>
      <selection pane="topRight" activeCell="D1" sqref="D1"/>
      <selection pane="bottomLeft" activeCell="A3" sqref="A3"/>
      <selection pane="bottomRight" activeCell="AG4" sqref="AG4"/>
    </sheetView>
  </sheetViews>
  <sheetFormatPr baseColWidth="10" defaultColWidth="14.44140625" defaultRowHeight="122.4" customHeight="1" x14ac:dyDescent="0.4"/>
  <cols>
    <col min="1" max="1" width="0.33203125" style="260" customWidth="1"/>
    <col min="2" max="2" width="59.5546875" style="260" customWidth="1"/>
    <col min="3" max="3" width="59.21875" style="260" customWidth="1"/>
    <col min="4" max="4" width="38" style="651" customWidth="1"/>
    <col min="5" max="5" width="31.6640625" style="260" customWidth="1"/>
    <col min="6" max="6" width="36.5546875" style="380" customWidth="1"/>
    <col min="7" max="7" width="28.5546875" style="260" customWidth="1"/>
    <col min="8" max="8" width="33" style="260" customWidth="1"/>
    <col min="9" max="9" width="33.33203125" style="260" customWidth="1"/>
    <col min="10" max="10" width="40.6640625" style="260" customWidth="1"/>
    <col min="11" max="11" width="44" style="260" customWidth="1"/>
    <col min="12" max="12" width="40.88671875" style="260" customWidth="1"/>
    <col min="13" max="13" width="33.5546875" style="524" customWidth="1"/>
    <col min="14" max="14" width="44" style="260" customWidth="1"/>
    <col min="15" max="15" width="44.33203125" style="260" customWidth="1"/>
    <col min="16" max="16" width="35.6640625" style="260" customWidth="1"/>
    <col min="17" max="17" width="34.88671875" style="260" customWidth="1"/>
    <col min="18" max="18" width="29.77734375" style="260" customWidth="1"/>
    <col min="19" max="19" width="31.6640625" style="260" customWidth="1"/>
    <col min="20" max="20" width="39.44140625" style="260" customWidth="1"/>
    <col min="21" max="21" width="41" style="260" customWidth="1"/>
    <col min="22" max="22" width="37.33203125" style="260" customWidth="1"/>
    <col min="23" max="23" width="40.109375" style="260" customWidth="1"/>
    <col min="24" max="24" width="39.77734375" style="260" customWidth="1"/>
    <col min="25" max="25" width="38.33203125" style="260" customWidth="1"/>
    <col min="26" max="26" width="42.44140625" style="260" customWidth="1"/>
    <col min="27" max="27" width="43.88671875" style="260" customWidth="1"/>
    <col min="28" max="28" width="61.6640625" style="260" hidden="1" customWidth="1"/>
    <col min="29" max="29" width="66.5546875" style="260" hidden="1" customWidth="1"/>
    <col min="30" max="30" width="48.5546875" style="260" hidden="1" customWidth="1"/>
    <col min="31" max="31" width="51.5546875" style="260" hidden="1" customWidth="1"/>
    <col min="32" max="32" width="64.21875" style="260" hidden="1" customWidth="1"/>
    <col min="33" max="33" width="50.33203125" style="260" customWidth="1"/>
    <col min="34" max="34" width="76.6640625" style="260" customWidth="1"/>
    <col min="35" max="40" width="10.6640625" style="260" customWidth="1"/>
    <col min="41" max="16384" width="14.44140625" style="260"/>
  </cols>
  <sheetData>
    <row r="1" spans="1:112" ht="12.6" customHeight="1" thickBot="1" x14ac:dyDescent="0.45">
      <c r="A1" s="258"/>
      <c r="B1" s="258"/>
      <c r="C1" s="258"/>
      <c r="D1" s="622"/>
      <c r="E1" s="258"/>
      <c r="F1" s="259"/>
      <c r="G1" s="258"/>
      <c r="H1" s="258"/>
      <c r="I1" s="258"/>
      <c r="J1" s="258"/>
      <c r="K1" s="258"/>
      <c r="L1" s="258"/>
      <c r="M1" s="518"/>
      <c r="N1" s="258"/>
      <c r="O1" s="258"/>
      <c r="P1" s="258"/>
      <c r="Q1" s="258"/>
      <c r="R1" s="258"/>
      <c r="S1" s="258"/>
      <c r="T1" s="258"/>
      <c r="U1" s="258"/>
      <c r="V1" s="258"/>
      <c r="W1" s="258"/>
      <c r="X1" s="258"/>
      <c r="Y1" s="258"/>
      <c r="Z1" s="258"/>
      <c r="AA1" s="258"/>
      <c r="AB1" s="258"/>
      <c r="AC1" s="258"/>
      <c r="AD1" s="258"/>
      <c r="AE1" s="258"/>
      <c r="AF1" s="258"/>
    </row>
    <row r="2" spans="1:112" s="273" customFormat="1" ht="222.6" customHeight="1" thickBot="1" x14ac:dyDescent="0.45">
      <c r="A2" s="261"/>
      <c r="B2" s="940" t="s">
        <v>0</v>
      </c>
      <c r="C2" s="948"/>
      <c r="D2" s="262" t="s">
        <v>1</v>
      </c>
      <c r="E2" s="263" t="s">
        <v>2</v>
      </c>
      <c r="F2" s="264" t="s">
        <v>3</v>
      </c>
      <c r="G2" s="264" t="s">
        <v>4</v>
      </c>
      <c r="H2" s="264" t="s">
        <v>1783</v>
      </c>
      <c r="I2" s="264" t="s">
        <v>5</v>
      </c>
      <c r="J2" s="264" t="s">
        <v>1784</v>
      </c>
      <c r="K2" s="265" t="s">
        <v>6</v>
      </c>
      <c r="L2" s="265" t="s">
        <v>1785</v>
      </c>
      <c r="M2" s="266" t="s">
        <v>1772</v>
      </c>
      <c r="N2" s="403" t="s">
        <v>1786</v>
      </c>
      <c r="O2" s="403" t="s">
        <v>1789</v>
      </c>
      <c r="P2" s="403" t="s">
        <v>1788</v>
      </c>
      <c r="Q2" s="403" t="s">
        <v>1787</v>
      </c>
      <c r="R2" s="403" t="s">
        <v>1790</v>
      </c>
      <c r="S2" s="403" t="s">
        <v>1791</v>
      </c>
      <c r="T2" s="478" t="s">
        <v>7</v>
      </c>
      <c r="U2" s="890" t="s">
        <v>1879</v>
      </c>
      <c r="V2" s="402" t="s">
        <v>8</v>
      </c>
      <c r="W2" s="402" t="s">
        <v>1880</v>
      </c>
      <c r="X2" s="401" t="s">
        <v>1793</v>
      </c>
      <c r="Y2" s="401" t="s">
        <v>1881</v>
      </c>
      <c r="Z2" s="607" t="s">
        <v>1774</v>
      </c>
      <c r="AA2" s="891" t="s">
        <v>1882</v>
      </c>
      <c r="AB2" s="267" t="s">
        <v>1792</v>
      </c>
      <c r="AC2" s="268" t="s">
        <v>1794</v>
      </c>
      <c r="AD2" s="269" t="s">
        <v>1868</v>
      </c>
      <c r="AE2" s="270" t="s">
        <v>1869</v>
      </c>
      <c r="AF2" s="267" t="s">
        <v>1883</v>
      </c>
      <c r="AG2" s="271"/>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c r="CU2" s="272"/>
      <c r="CV2" s="272"/>
      <c r="CW2" s="272"/>
      <c r="CX2" s="272"/>
      <c r="CY2" s="272"/>
      <c r="CZ2" s="272"/>
      <c r="DA2" s="272"/>
      <c r="DB2" s="272"/>
      <c r="DC2" s="272"/>
      <c r="DD2" s="272"/>
      <c r="DE2" s="272"/>
      <c r="DF2" s="272"/>
      <c r="DG2" s="272"/>
      <c r="DH2" s="272"/>
    </row>
    <row r="3" spans="1:112" s="781" customFormat="1" ht="122.4" customHeight="1" thickBot="1" x14ac:dyDescent="0.55000000000000004">
      <c r="A3" s="766"/>
      <c r="B3" s="949" t="s">
        <v>1568</v>
      </c>
      <c r="C3" s="950"/>
      <c r="D3" s="767"/>
      <c r="E3" s="768">
        <v>0.2</v>
      </c>
      <c r="F3" s="769"/>
      <c r="G3" s="770"/>
      <c r="H3" s="771"/>
      <c r="I3" s="772">
        <f>+(I4+I91+I119+I130+I164+I192)/6</f>
        <v>0.25323854832043019</v>
      </c>
      <c r="J3" s="772">
        <f>+(J4+J91+J119+J130+J164+J192)/6</f>
        <v>0.29872026705958277</v>
      </c>
      <c r="K3" s="773">
        <f>+(K4+K91+K119+K130+K164+K192)/6</f>
        <v>0.20215522261646302</v>
      </c>
      <c r="L3" s="774">
        <f>+(L4+L91+L119+L130+L164+L192)/6</f>
        <v>0.25366832876982387</v>
      </c>
      <c r="M3" s="775"/>
      <c r="N3" s="776"/>
      <c r="O3" s="777"/>
      <c r="P3" s="776"/>
      <c r="Q3" s="776"/>
      <c r="R3" s="776"/>
      <c r="S3" s="777"/>
      <c r="T3" s="822">
        <f>+(T4+T91+T119+T130+T164+T192)/6</f>
        <v>0.84448226383644498</v>
      </c>
      <c r="U3" s="822">
        <f>+(U4+U1+U119+U130+U164+U192)/6</f>
        <v>0.601365659411503</v>
      </c>
      <c r="V3" s="823">
        <f>F4+F91+F119+F130+F164+F192</f>
        <v>0.65816842348257643</v>
      </c>
      <c r="W3" s="823">
        <f>H4+H91+H119+H130+H164+H192</f>
        <v>0.61561897268420451</v>
      </c>
      <c r="X3" s="824">
        <f>+(X4+X91+X119+X130+X164+X192)/6</f>
        <v>0.21601693102515732</v>
      </c>
      <c r="Y3" s="829">
        <f>+(Y4+Y91+Y119+Y130+Y164+Y192)/6</f>
        <v>0.42235106158210151</v>
      </c>
      <c r="Z3" s="823">
        <f>+(Z4+Z91+Z119+Z130+Z164+Z192)/6</f>
        <v>0.17720527157842844</v>
      </c>
      <c r="AA3" s="823">
        <f>+(AA4*E4)+(AA91*E91)+(AA119*E119)+(AA130*E130)+(AA164*E164)+(AA192*E192)</f>
        <v>0.39733460395963061</v>
      </c>
      <c r="AB3" s="778"/>
      <c r="AC3" s="779"/>
      <c r="AD3" s="780"/>
      <c r="AE3" s="780"/>
      <c r="AF3" s="780"/>
    </row>
    <row r="4" spans="1:112" s="670" customFormat="1" ht="76.2" customHeight="1" thickBot="1" x14ac:dyDescent="0.55000000000000004">
      <c r="A4" s="671"/>
      <c r="B4" s="951" t="s">
        <v>1567</v>
      </c>
      <c r="C4" s="952"/>
      <c r="D4" s="672"/>
      <c r="E4" s="673">
        <v>0.3</v>
      </c>
      <c r="F4" s="674">
        <f>+E4*V4</f>
        <v>0.19400364635079345</v>
      </c>
      <c r="G4" s="675"/>
      <c r="H4" s="765">
        <f>E4*W4</f>
        <v>0.19606246222770424</v>
      </c>
      <c r="I4" s="676">
        <f>+(I5+I12+I15+I21+I29+I34+I39+I43+I49+I52+I56+I60+I68+I73+I77+I85)/15</f>
        <v>0.26981900399515463</v>
      </c>
      <c r="J4" s="676">
        <f>+(J5+J12+J15+J21+J29+J34+J39+J43+J49+J52+J56+J60+J68+J73+J77+J85)/16</f>
        <v>0.26016382169667063</v>
      </c>
      <c r="K4" s="677">
        <f>+(K5+K12+K15+K21+K29+K34+K39+K43+K49+K52+K56+K60+K68+K73+K77+K85)/15</f>
        <v>0.25378937395993473</v>
      </c>
      <c r="L4" s="677">
        <f>+(L5+L12+L15+L21+L29+L34+L39+L43+L49+L52+L56+L60+L68+L73+L77+L85)/16</f>
        <v>0.25173882005686626</v>
      </c>
      <c r="M4" s="678"/>
      <c r="N4" s="679"/>
      <c r="O4" s="679"/>
      <c r="P4" s="679"/>
      <c r="Q4" s="679"/>
      <c r="R4" s="679"/>
      <c r="S4" s="679"/>
      <c r="T4" s="680">
        <f>+(T5+T12+T15+T21+T29+T34+T39+T43+T49+T52+T56+T60+T68+T73+T77+T85)/15</f>
        <v>0.67517996637046018</v>
      </c>
      <c r="U4" s="680">
        <f>+(U5+U12+U15+U21+U29+U34+U39+U43+U49+U52+U56+U60+U68+U73+U77+U85)/16</f>
        <v>0.7099586933628762</v>
      </c>
      <c r="V4" s="681">
        <f>+V5+V12+V15+V21+V29+V34+V39+V43+V49+V52+V56+V60+V68+V73+V77+V85</f>
        <v>0.64667882116931152</v>
      </c>
      <c r="W4" s="681">
        <f>+W5+W12+W15+W21+W29+W34+W39+W43+W49+W52+W56+W60+W68+W73+W77+W85</f>
        <v>0.65354154075901416</v>
      </c>
      <c r="X4" s="682">
        <f>(X5+X12+X15+X21+X29+X34+X39+X43+X49+X52+X56+X60+X68+X73+X77+X85)/15</f>
        <v>0.21288627727196741</v>
      </c>
      <c r="Y4" s="682">
        <f>(Y5+Y12+Y15+Y21+Y29+Y34+Y39+Y43+Y49+Y52+Y56+Y60+Y68+Y73+Y77+Y85)/16</f>
        <v>0.46393700323416592</v>
      </c>
      <c r="Z4" s="681">
        <f>+Z5+Z12+Z15+Z21+Z29+Z34+Z39+Z43+Z49+Z52+Z56+Z60+Z68+Z73+Z77+Z85</f>
        <v>0.19455564139729131</v>
      </c>
      <c r="AA4" s="681">
        <f>+(AA5*E5)+(AA12*E12)+(AA15*E15)+(AA21*E21)+(AA29*E29)+(AA34*E34)+(AA39*E39)+(AA43*E43)+(AA49*E49)+(AA52*E52)+(AA56*E56)+(AA60*E60)+(AA68*E68)+(AA73*E73)+(AA77*E77)+(AA85*E85)</f>
        <v>0.41239757019059781</v>
      </c>
      <c r="AB4" s="683"/>
      <c r="AC4" s="697"/>
      <c r="AD4" s="684"/>
      <c r="AE4" s="684"/>
      <c r="AF4" s="684"/>
    </row>
    <row r="5" spans="1:112" s="670" customFormat="1" ht="122.4" customHeight="1" thickBot="1" x14ac:dyDescent="0.5">
      <c r="A5" s="671"/>
      <c r="B5" s="953" t="s">
        <v>1569</v>
      </c>
      <c r="C5" s="954"/>
      <c r="D5" s="672"/>
      <c r="E5" s="685">
        <v>0.25</v>
      </c>
      <c r="F5" s="686"/>
      <c r="G5" s="687"/>
      <c r="H5" s="688"/>
      <c r="I5" s="689">
        <f>+AVERAGE(I6:I11)</f>
        <v>0.13533333333333333</v>
      </c>
      <c r="J5" s="689">
        <f>+AVERAGE(J6:J11)</f>
        <v>0.26333333333333325</v>
      </c>
      <c r="K5" s="690">
        <f>+K6+K7+K8+K9+K10+K11</f>
        <v>0.12433333333333335</v>
      </c>
      <c r="L5" s="690">
        <f>+L6+L7+L8+L9+L10+L11</f>
        <v>0.25883333333333336</v>
      </c>
      <c r="M5" s="691"/>
      <c r="N5" s="692"/>
      <c r="O5" s="692"/>
      <c r="P5" s="692"/>
      <c r="Q5" s="692"/>
      <c r="R5" s="692"/>
      <c r="S5" s="692"/>
      <c r="T5" s="693">
        <f>+AVERAGE(T6:T11)</f>
        <v>0.65125</v>
      </c>
      <c r="U5" s="693">
        <f>+AVERAGE(U6:U11)</f>
        <v>0.6082352941176471</v>
      </c>
      <c r="V5" s="694">
        <f>+(V6+V7+V8+V9+V10+V11)*E5</f>
        <v>0.15640625000000002</v>
      </c>
      <c r="W5" s="694">
        <f>+(W6+W7+W8+W9+W10+W11)*E5</f>
        <v>0.17923529411764705</v>
      </c>
      <c r="X5" s="695">
        <f>+AVERAGE(X6:X11)</f>
        <v>9.9466666666666662E-2</v>
      </c>
      <c r="Y5" s="804">
        <f>+AVERAGE(Y6:Y11)</f>
        <v>0.27086111111111111</v>
      </c>
      <c r="Z5" s="695">
        <f>+(Z6+Z7+Z8+Z9+Z10+Z11)*E5</f>
        <v>2.3891666666666669E-2</v>
      </c>
      <c r="AA5" s="695">
        <f>+(AA6+AA7+AA8+AA9+AA10+AA11)</f>
        <v>0.32416666666666666</v>
      </c>
      <c r="AB5" s="696"/>
      <c r="AC5" s="697"/>
      <c r="AD5" s="684"/>
      <c r="AE5" s="684"/>
      <c r="AF5" s="684"/>
    </row>
    <row r="6" spans="1:112" ht="122.4" customHeight="1" thickBot="1" x14ac:dyDescent="0.45">
      <c r="A6" s="276"/>
      <c r="B6" s="896" t="s">
        <v>355</v>
      </c>
      <c r="C6" s="894" t="s">
        <v>356</v>
      </c>
      <c r="D6" s="331" t="s">
        <v>357</v>
      </c>
      <c r="E6" s="286">
        <v>0.1</v>
      </c>
      <c r="F6" s="287">
        <v>1</v>
      </c>
      <c r="G6" s="288"/>
      <c r="H6" s="289">
        <v>0.3</v>
      </c>
      <c r="I6" s="290"/>
      <c r="J6" s="290">
        <f>+H6/F6</f>
        <v>0.3</v>
      </c>
      <c r="K6" s="291"/>
      <c r="L6" s="298">
        <f>+(H6/F6)*E6</f>
        <v>0.03</v>
      </c>
      <c r="M6" s="292"/>
      <c r="N6" s="293">
        <v>0.1</v>
      </c>
      <c r="O6" s="595">
        <v>0</v>
      </c>
      <c r="P6" s="595">
        <v>0</v>
      </c>
      <c r="Q6" s="292"/>
      <c r="R6" s="292">
        <f>+N6+O6+P6+Q6</f>
        <v>0.1</v>
      </c>
      <c r="S6" s="292">
        <f>+R6+M6</f>
        <v>0.1</v>
      </c>
      <c r="T6" s="294"/>
      <c r="U6" s="295">
        <f>+R6/H6</f>
        <v>0.33333333333333337</v>
      </c>
      <c r="V6" s="295"/>
      <c r="W6" s="295">
        <f>+U6*E6</f>
        <v>3.333333333333334E-2</v>
      </c>
      <c r="X6" s="295"/>
      <c r="Y6" s="295">
        <f>+S6/F6</f>
        <v>0.1</v>
      </c>
      <c r="Z6" s="295"/>
      <c r="AA6" s="295">
        <f t="shared" ref="AA6:AA11" si="0">+Y6*E6</f>
        <v>1.0000000000000002E-2</v>
      </c>
      <c r="AB6" s="592" t="s">
        <v>1798</v>
      </c>
      <c r="AC6" s="656" t="s">
        <v>1800</v>
      </c>
      <c r="AD6" s="656" t="s">
        <v>1860</v>
      </c>
      <c r="AE6" s="605" t="s">
        <v>1867</v>
      </c>
      <c r="AF6" s="605" t="s">
        <v>1897</v>
      </c>
    </row>
    <row r="7" spans="1:112" ht="122.4" customHeight="1" thickBot="1" x14ac:dyDescent="0.45">
      <c r="A7" s="276"/>
      <c r="B7" s="896" t="s">
        <v>358</v>
      </c>
      <c r="C7" s="894" t="s">
        <v>359</v>
      </c>
      <c r="D7" s="331" t="s">
        <v>357</v>
      </c>
      <c r="E7" s="286">
        <v>0.1</v>
      </c>
      <c r="F7" s="287">
        <v>60</v>
      </c>
      <c r="G7" s="288">
        <v>5</v>
      </c>
      <c r="H7" s="289">
        <v>17</v>
      </c>
      <c r="I7" s="297">
        <f>+G7/F7</f>
        <v>8.3333333333333329E-2</v>
      </c>
      <c r="J7" s="290">
        <f>+H7/F7</f>
        <v>0.28333333333333333</v>
      </c>
      <c r="K7" s="298">
        <f>+(G7/F7)*E7</f>
        <v>8.3333333333333332E-3</v>
      </c>
      <c r="L7" s="298">
        <f>+(H7/F7)*E7</f>
        <v>2.8333333333333335E-2</v>
      </c>
      <c r="M7" s="663">
        <v>1</v>
      </c>
      <c r="N7" s="595">
        <v>0</v>
      </c>
      <c r="O7" s="595">
        <v>0</v>
      </c>
      <c r="P7" s="595">
        <v>0</v>
      </c>
      <c r="Q7" s="299"/>
      <c r="R7" s="292">
        <f t="shared" ref="R7:R11" si="1">+N7+O7+P7+Q7</f>
        <v>0</v>
      </c>
      <c r="S7" s="292">
        <f t="shared" ref="S7:S11" si="2">+R7+M7</f>
        <v>1</v>
      </c>
      <c r="T7" s="294">
        <f>+(M7/G7)</f>
        <v>0.2</v>
      </c>
      <c r="U7" s="295">
        <f t="shared" ref="U7:U48" si="3">+R7/H7</f>
        <v>0</v>
      </c>
      <c r="V7" s="295">
        <f>+T7*E7</f>
        <v>2.0000000000000004E-2</v>
      </c>
      <c r="W7" s="295">
        <f>+U7*E7</f>
        <v>0</v>
      </c>
      <c r="X7" s="295">
        <f>+M7/F7</f>
        <v>1.6666666666666666E-2</v>
      </c>
      <c r="Y7" s="301">
        <f t="shared" ref="Y7:Y48" si="4">+S7/F7</f>
        <v>1.6666666666666666E-2</v>
      </c>
      <c r="Z7" s="301">
        <f>+X7*E7</f>
        <v>1.6666666666666668E-3</v>
      </c>
      <c r="AA7" s="301">
        <f t="shared" si="0"/>
        <v>1.6666666666666668E-3</v>
      </c>
      <c r="AB7" s="592" t="s">
        <v>1775</v>
      </c>
      <c r="AC7" s="655" t="s">
        <v>1800</v>
      </c>
      <c r="AD7" s="656" t="s">
        <v>1860</v>
      </c>
      <c r="AE7" s="605" t="s">
        <v>1867</v>
      </c>
      <c r="AF7" s="605" t="s">
        <v>1897</v>
      </c>
    </row>
    <row r="8" spans="1:112" ht="122.4" customHeight="1" thickBot="1" x14ac:dyDescent="0.45">
      <c r="A8" s="276"/>
      <c r="B8" s="897" t="s">
        <v>360</v>
      </c>
      <c r="C8" s="893" t="s">
        <v>361</v>
      </c>
      <c r="D8" s="331" t="s">
        <v>357</v>
      </c>
      <c r="E8" s="286">
        <v>0.2</v>
      </c>
      <c r="F8" s="287">
        <v>5</v>
      </c>
      <c r="G8" s="288">
        <v>1</v>
      </c>
      <c r="H8" s="289">
        <v>1</v>
      </c>
      <c r="I8" s="297">
        <f>+G8/F8</f>
        <v>0.2</v>
      </c>
      <c r="J8" s="290">
        <f t="shared" ref="J8:J48" si="5">+H8/F8</f>
        <v>0.2</v>
      </c>
      <c r="K8" s="298">
        <f>+(G8/F8)*E8</f>
        <v>4.0000000000000008E-2</v>
      </c>
      <c r="L8" s="298">
        <f>+(H8/F8)*E8</f>
        <v>4.0000000000000008E-2</v>
      </c>
      <c r="M8" s="840">
        <v>1</v>
      </c>
      <c r="N8" s="591">
        <v>0</v>
      </c>
      <c r="O8" s="591">
        <v>0.4</v>
      </c>
      <c r="P8" s="300">
        <v>0.12</v>
      </c>
      <c r="Q8" s="299"/>
      <c r="R8" s="292">
        <f t="shared" si="1"/>
        <v>0.52</v>
      </c>
      <c r="S8" s="292">
        <f t="shared" si="2"/>
        <v>1.52</v>
      </c>
      <c r="T8" s="294">
        <f>+(M8/G8)</f>
        <v>1</v>
      </c>
      <c r="U8" s="295">
        <f t="shared" si="3"/>
        <v>0.52</v>
      </c>
      <c r="V8" s="295">
        <f>+T8*E8</f>
        <v>0.2</v>
      </c>
      <c r="W8" s="295">
        <f t="shared" ref="W8:W48" si="6">+U8*E8</f>
        <v>0.10400000000000001</v>
      </c>
      <c r="X8" s="295">
        <f>+M8/F8</f>
        <v>0.2</v>
      </c>
      <c r="Y8" s="295">
        <f t="shared" si="4"/>
        <v>0.30399999999999999</v>
      </c>
      <c r="Z8" s="295">
        <f>+X8*E8</f>
        <v>4.0000000000000008E-2</v>
      </c>
      <c r="AA8" s="295">
        <f t="shared" si="0"/>
        <v>6.08E-2</v>
      </c>
      <c r="AB8" s="592" t="s">
        <v>1775</v>
      </c>
      <c r="AC8" s="655" t="s">
        <v>1800</v>
      </c>
      <c r="AD8" s="656" t="s">
        <v>1860</v>
      </c>
      <c r="AE8" s="605" t="s">
        <v>1867</v>
      </c>
      <c r="AF8" s="605" t="s">
        <v>1897</v>
      </c>
    </row>
    <row r="9" spans="1:112" ht="122.4" customHeight="1" thickBot="1" x14ac:dyDescent="0.45">
      <c r="A9" s="276"/>
      <c r="B9" s="896" t="s">
        <v>362</v>
      </c>
      <c r="C9" s="894" t="s">
        <v>363</v>
      </c>
      <c r="D9" s="331" t="s">
        <v>357</v>
      </c>
      <c r="E9" s="286">
        <v>0.3</v>
      </c>
      <c r="F9" s="287">
        <v>15</v>
      </c>
      <c r="G9" s="288">
        <v>2</v>
      </c>
      <c r="H9" s="289">
        <v>4</v>
      </c>
      <c r="I9" s="297">
        <f>+G9/F9</f>
        <v>0.13333333333333333</v>
      </c>
      <c r="J9" s="290">
        <f t="shared" si="5"/>
        <v>0.26666666666666666</v>
      </c>
      <c r="K9" s="298">
        <f>+(G9/F9)*E9</f>
        <v>0.04</v>
      </c>
      <c r="L9" s="298">
        <f t="shared" ref="L9:L11" si="7">+(H9/F9)*E9</f>
        <v>0.08</v>
      </c>
      <c r="M9" s="663">
        <v>1</v>
      </c>
      <c r="N9" s="595">
        <v>1</v>
      </c>
      <c r="O9" s="595">
        <v>1</v>
      </c>
      <c r="P9" s="595">
        <v>3</v>
      </c>
      <c r="Q9" s="299"/>
      <c r="R9" s="292">
        <f t="shared" si="1"/>
        <v>5</v>
      </c>
      <c r="S9" s="292">
        <f t="shared" si="2"/>
        <v>6</v>
      </c>
      <c r="T9" s="294">
        <f>+(M9/G9)</f>
        <v>0.5</v>
      </c>
      <c r="U9" s="295">
        <v>1</v>
      </c>
      <c r="V9" s="295">
        <f>+T9*E9</f>
        <v>0.15</v>
      </c>
      <c r="W9" s="295">
        <f t="shared" si="6"/>
        <v>0.3</v>
      </c>
      <c r="X9" s="295">
        <f>+M9/F9</f>
        <v>6.6666666666666666E-2</v>
      </c>
      <c r="Y9" s="295">
        <f t="shared" si="4"/>
        <v>0.4</v>
      </c>
      <c r="Z9" s="295">
        <f>+X9*E9</f>
        <v>0.02</v>
      </c>
      <c r="AA9" s="295">
        <f t="shared" si="0"/>
        <v>0.12</v>
      </c>
      <c r="AB9" s="592" t="s">
        <v>1775</v>
      </c>
      <c r="AC9" s="655" t="s">
        <v>1800</v>
      </c>
      <c r="AD9" s="656" t="s">
        <v>1860</v>
      </c>
      <c r="AE9" s="605" t="s">
        <v>1867</v>
      </c>
      <c r="AF9" s="605" t="s">
        <v>1897</v>
      </c>
    </row>
    <row r="10" spans="1:112" ht="122.4" customHeight="1" thickBot="1" x14ac:dyDescent="0.45">
      <c r="A10" s="276"/>
      <c r="B10" s="896" t="s">
        <v>364</v>
      </c>
      <c r="C10" s="894" t="s">
        <v>365</v>
      </c>
      <c r="D10" s="331" t="s">
        <v>357</v>
      </c>
      <c r="E10" s="286">
        <v>0.2</v>
      </c>
      <c r="F10" s="287">
        <v>80</v>
      </c>
      <c r="G10" s="288">
        <v>8</v>
      </c>
      <c r="H10" s="289">
        <v>22</v>
      </c>
      <c r="I10" s="297">
        <f>+G10/F10</f>
        <v>0.1</v>
      </c>
      <c r="J10" s="290">
        <f>+H10/F10</f>
        <v>0.27500000000000002</v>
      </c>
      <c r="K10" s="298">
        <f>+(G10/F10)*E10</f>
        <v>2.0000000000000004E-2</v>
      </c>
      <c r="L10" s="298">
        <f t="shared" si="7"/>
        <v>5.5000000000000007E-2</v>
      </c>
      <c r="M10" s="663">
        <v>10</v>
      </c>
      <c r="N10" s="595">
        <v>10</v>
      </c>
      <c r="O10" s="595">
        <v>0</v>
      </c>
      <c r="P10" s="595">
        <v>21</v>
      </c>
      <c r="Q10" s="299"/>
      <c r="R10" s="292">
        <f t="shared" si="1"/>
        <v>31</v>
      </c>
      <c r="S10" s="292">
        <f t="shared" si="2"/>
        <v>41</v>
      </c>
      <c r="T10" s="294">
        <v>1</v>
      </c>
      <c r="U10" s="295">
        <v>1</v>
      </c>
      <c r="V10" s="295">
        <f>+T10*E10</f>
        <v>0.2</v>
      </c>
      <c r="W10" s="295">
        <f t="shared" si="6"/>
        <v>0.2</v>
      </c>
      <c r="X10" s="295">
        <f>+M10/F10</f>
        <v>0.125</v>
      </c>
      <c r="Y10" s="295">
        <f t="shared" si="4"/>
        <v>0.51249999999999996</v>
      </c>
      <c r="Z10" s="295">
        <f>+X10*E10</f>
        <v>2.5000000000000001E-2</v>
      </c>
      <c r="AA10" s="295">
        <f t="shared" si="0"/>
        <v>0.10249999999999999</v>
      </c>
      <c r="AB10" s="592" t="s">
        <v>1775</v>
      </c>
      <c r="AC10" s="655" t="s">
        <v>1800</v>
      </c>
      <c r="AD10" s="656" t="s">
        <v>1860</v>
      </c>
      <c r="AE10" s="605" t="s">
        <v>1867</v>
      </c>
      <c r="AF10" s="605" t="s">
        <v>1897</v>
      </c>
    </row>
    <row r="11" spans="1:112" ht="122.4" customHeight="1" thickBot="1" x14ac:dyDescent="0.45">
      <c r="A11" s="276"/>
      <c r="B11" s="896" t="s">
        <v>366</v>
      </c>
      <c r="C11" s="894" t="s">
        <v>367</v>
      </c>
      <c r="D11" s="331" t="s">
        <v>357</v>
      </c>
      <c r="E11" s="286">
        <v>0.1</v>
      </c>
      <c r="F11" s="287">
        <v>1000</v>
      </c>
      <c r="G11" s="288">
        <v>160</v>
      </c>
      <c r="H11" s="289">
        <v>255</v>
      </c>
      <c r="I11" s="297">
        <f>+G11/F11</f>
        <v>0.16</v>
      </c>
      <c r="J11" s="290">
        <f t="shared" si="5"/>
        <v>0.255</v>
      </c>
      <c r="K11" s="298">
        <f>+(G11/F11)*E11</f>
        <v>1.6E-2</v>
      </c>
      <c r="L11" s="298">
        <f t="shared" si="7"/>
        <v>2.5500000000000002E-2</v>
      </c>
      <c r="M11" s="663">
        <v>89</v>
      </c>
      <c r="N11" s="595">
        <v>111</v>
      </c>
      <c r="O11" s="595">
        <v>75</v>
      </c>
      <c r="P11" s="595">
        <v>17</v>
      </c>
      <c r="Q11" s="299"/>
      <c r="R11" s="292">
        <f t="shared" si="1"/>
        <v>203</v>
      </c>
      <c r="S11" s="292">
        <f t="shared" si="2"/>
        <v>292</v>
      </c>
      <c r="T11" s="294">
        <f>+(M11/G11)</f>
        <v>0.55625000000000002</v>
      </c>
      <c r="U11" s="295">
        <f t="shared" si="3"/>
        <v>0.79607843137254897</v>
      </c>
      <c r="V11" s="295">
        <f>+T11*E11</f>
        <v>5.5625000000000008E-2</v>
      </c>
      <c r="W11" s="295">
        <f t="shared" si="6"/>
        <v>7.9607843137254899E-2</v>
      </c>
      <c r="X11" s="295">
        <f>+M11/F11</f>
        <v>8.8999999999999996E-2</v>
      </c>
      <c r="Y11" s="295">
        <f t="shared" si="4"/>
        <v>0.29199999999999998</v>
      </c>
      <c r="Z11" s="295">
        <f>+X11*E11</f>
        <v>8.8999999999999999E-3</v>
      </c>
      <c r="AA11" s="295">
        <f t="shared" si="0"/>
        <v>2.92E-2</v>
      </c>
      <c r="AB11" s="592" t="s">
        <v>1775</v>
      </c>
      <c r="AC11" s="655" t="s">
        <v>1800</v>
      </c>
      <c r="AD11" s="655" t="s">
        <v>1860</v>
      </c>
      <c r="AE11" s="602" t="s">
        <v>1867</v>
      </c>
      <c r="AF11" s="602" t="s">
        <v>1897</v>
      </c>
    </row>
    <row r="12" spans="1:112" ht="122.4" customHeight="1" thickBot="1" x14ac:dyDescent="0.5">
      <c r="A12" s="276"/>
      <c r="B12" s="953" t="s">
        <v>1570</v>
      </c>
      <c r="C12" s="954"/>
      <c r="D12" s="277"/>
      <c r="E12" s="282">
        <v>0.02</v>
      </c>
      <c r="F12" s="302"/>
      <c r="G12" s="303"/>
      <c r="H12" s="283"/>
      <c r="I12" s="304">
        <f>+AVERAGE(I13:I14)</f>
        <v>0.33035714285714285</v>
      </c>
      <c r="J12" s="304">
        <f>+AVERAGE(J13:J14)</f>
        <v>0.43154761904761907</v>
      </c>
      <c r="K12" s="305">
        <f>+K13+K14</f>
        <v>0.33928571428571425</v>
      </c>
      <c r="L12" s="305">
        <f>+L13+L14</f>
        <v>0.47023809523809523</v>
      </c>
      <c r="M12" s="292"/>
      <c r="N12" s="306"/>
      <c r="O12" s="306"/>
      <c r="P12" s="306"/>
      <c r="Q12" s="306"/>
      <c r="R12" s="306"/>
      <c r="S12" s="306"/>
      <c r="T12" s="525">
        <f>+AVERAGE(T13:T15)</f>
        <v>0.76545415896074187</v>
      </c>
      <c r="U12" s="525">
        <f>+AVERAGE(U13:U14)</f>
        <v>0.7</v>
      </c>
      <c r="V12" s="329">
        <f>+(V13+V14)*E12</f>
        <v>1.4666666666666666E-2</v>
      </c>
      <c r="W12" s="329">
        <f>+(W13+W14)*E12</f>
        <v>1.2800000000000001E-2</v>
      </c>
      <c r="X12" s="284">
        <f>+AVERAGE(X13:X14)</f>
        <v>0.23511904761904762</v>
      </c>
      <c r="Y12" s="284">
        <f>+AVERAGE(Y13:Y14)</f>
        <v>0.57440476190476186</v>
      </c>
      <c r="Z12" s="284">
        <f>+(Z13+Z14)*E12</f>
        <v>5.261904761904761E-3</v>
      </c>
      <c r="AA12" s="284">
        <f>+(AA13+AA14)</f>
        <v>0.58452380952380956</v>
      </c>
      <c r="AB12" s="285"/>
      <c r="AC12" s="657"/>
      <c r="AD12" s="657"/>
      <c r="AE12" s="657"/>
      <c r="AF12" s="657"/>
    </row>
    <row r="13" spans="1:112" ht="122.4" customHeight="1" thickBot="1" x14ac:dyDescent="0.45">
      <c r="A13" s="276"/>
      <c r="B13" s="896" t="s">
        <v>368</v>
      </c>
      <c r="C13" s="894" t="s">
        <v>369</v>
      </c>
      <c r="D13" s="331" t="s">
        <v>357</v>
      </c>
      <c r="E13" s="286">
        <v>0.6</v>
      </c>
      <c r="F13" s="287">
        <v>40</v>
      </c>
      <c r="G13" s="307">
        <v>15</v>
      </c>
      <c r="H13" s="308">
        <v>25</v>
      </c>
      <c r="I13" s="297">
        <f>+G13/F13</f>
        <v>0.375</v>
      </c>
      <c r="J13" s="297">
        <f t="shared" si="5"/>
        <v>0.625</v>
      </c>
      <c r="K13" s="298">
        <f>+(G13/F13)*E13</f>
        <v>0.22499999999999998</v>
      </c>
      <c r="L13" s="298">
        <f>+(H13/F13)*E13</f>
        <v>0.375</v>
      </c>
      <c r="M13" s="292">
        <v>15</v>
      </c>
      <c r="N13" s="595">
        <v>10</v>
      </c>
      <c r="O13" s="293">
        <v>0</v>
      </c>
      <c r="P13" s="293">
        <v>0</v>
      </c>
      <c r="Q13" s="292"/>
      <c r="R13" s="292">
        <f t="shared" ref="R13" si="8">+N13+O13+P13+Q13</f>
        <v>10</v>
      </c>
      <c r="S13" s="292">
        <f t="shared" ref="S13" si="9">+R13+M13</f>
        <v>25</v>
      </c>
      <c r="T13" s="294">
        <f>+(M13/G13)</f>
        <v>1</v>
      </c>
      <c r="U13" s="295">
        <f t="shared" si="3"/>
        <v>0.4</v>
      </c>
      <c r="V13" s="295">
        <f>+T13*E13</f>
        <v>0.6</v>
      </c>
      <c r="W13" s="295">
        <f t="shared" si="6"/>
        <v>0.24</v>
      </c>
      <c r="X13" s="295">
        <f>+M13/F13</f>
        <v>0.375</v>
      </c>
      <c r="Y13" s="295">
        <f t="shared" si="4"/>
        <v>0.625</v>
      </c>
      <c r="Z13" s="295">
        <f>+X13*E13</f>
        <v>0.22499999999999998</v>
      </c>
      <c r="AA13" s="295">
        <f>+Y13*E13</f>
        <v>0.375</v>
      </c>
      <c r="AB13" s="592" t="s">
        <v>1775</v>
      </c>
      <c r="AC13" s="655" t="s">
        <v>1801</v>
      </c>
      <c r="AD13" s="843" t="s">
        <v>1860</v>
      </c>
      <c r="AE13" s="605" t="s">
        <v>1867</v>
      </c>
      <c r="AF13" s="605" t="s">
        <v>1897</v>
      </c>
    </row>
    <row r="14" spans="1:112" ht="172.2" customHeight="1" thickBot="1" x14ac:dyDescent="0.45">
      <c r="A14" s="276"/>
      <c r="B14" s="896" t="s">
        <v>370</v>
      </c>
      <c r="C14" s="894" t="s">
        <v>371</v>
      </c>
      <c r="D14" s="331" t="s">
        <v>357</v>
      </c>
      <c r="E14" s="286">
        <v>0.4</v>
      </c>
      <c r="F14" s="287">
        <v>105</v>
      </c>
      <c r="G14" s="307">
        <v>30</v>
      </c>
      <c r="H14" s="308">
        <v>25</v>
      </c>
      <c r="I14" s="297">
        <f>+G14/F14</f>
        <v>0.2857142857142857</v>
      </c>
      <c r="J14" s="297">
        <f t="shared" si="5"/>
        <v>0.23809523809523808</v>
      </c>
      <c r="K14" s="298">
        <f>+(G14/F14)*E14</f>
        <v>0.11428571428571428</v>
      </c>
      <c r="L14" s="298">
        <f>+(H14/F14)*E14</f>
        <v>9.5238095238095233E-2</v>
      </c>
      <c r="M14" s="292">
        <v>10</v>
      </c>
      <c r="N14" s="595">
        <v>20</v>
      </c>
      <c r="O14" s="293">
        <v>6</v>
      </c>
      <c r="P14" s="293">
        <v>19</v>
      </c>
      <c r="Q14" s="292"/>
      <c r="R14" s="299">
        <f>+N14+O14+P14+Q14</f>
        <v>45</v>
      </c>
      <c r="S14" s="299">
        <f>+R14+M14</f>
        <v>55</v>
      </c>
      <c r="T14" s="294">
        <f>+(M14/G14)</f>
        <v>0.33333333333333331</v>
      </c>
      <c r="U14" s="295">
        <v>1</v>
      </c>
      <c r="V14" s="295">
        <f>+T14*E14</f>
        <v>0.13333333333333333</v>
      </c>
      <c r="W14" s="295">
        <f t="shared" si="6"/>
        <v>0.4</v>
      </c>
      <c r="X14" s="295">
        <f>+M14/F14</f>
        <v>9.5238095238095233E-2</v>
      </c>
      <c r="Y14" s="295">
        <f t="shared" si="4"/>
        <v>0.52380952380952384</v>
      </c>
      <c r="Z14" s="295">
        <f>+X14*E14</f>
        <v>3.8095238095238099E-2</v>
      </c>
      <c r="AA14" s="295">
        <f>+Y14*E14</f>
        <v>0.20952380952380956</v>
      </c>
      <c r="AB14" s="592" t="s">
        <v>1775</v>
      </c>
      <c r="AC14" s="655" t="s">
        <v>1799</v>
      </c>
      <c r="AD14" s="844" t="s">
        <v>1860</v>
      </c>
      <c r="AE14" s="602" t="s">
        <v>1867</v>
      </c>
      <c r="AF14" s="602" t="s">
        <v>1897</v>
      </c>
    </row>
    <row r="15" spans="1:112" ht="122.4" customHeight="1" thickBot="1" x14ac:dyDescent="0.5">
      <c r="A15" s="276"/>
      <c r="B15" s="953" t="s">
        <v>1571</v>
      </c>
      <c r="C15" s="954"/>
      <c r="D15" s="277"/>
      <c r="E15" s="282">
        <v>0.1</v>
      </c>
      <c r="F15" s="287"/>
      <c r="G15" s="303"/>
      <c r="H15" s="283"/>
      <c r="I15" s="304">
        <f>+AVERAGE(I16:I20)</f>
        <v>0.24305555555555555</v>
      </c>
      <c r="J15" s="304">
        <f>+AVERAGE(J16:J20)</f>
        <v>0.26562064156206416</v>
      </c>
      <c r="K15" s="305">
        <f>+K16+K17+K18+K19+K20</f>
        <v>0.22361111111111112</v>
      </c>
      <c r="L15" s="305">
        <f>+L16+L17+L18+L19+L20</f>
        <v>0.2536436541143654</v>
      </c>
      <c r="M15" s="292"/>
      <c r="N15" s="306"/>
      <c r="O15" s="306"/>
      <c r="P15" s="306"/>
      <c r="Q15" s="306"/>
      <c r="R15" s="306"/>
      <c r="S15" s="306"/>
      <c r="T15" s="525">
        <f>+AVERAGE(T16:T20)</f>
        <v>0.96302914354889246</v>
      </c>
      <c r="U15" s="525">
        <f>+AVERAGE(U16:U20)</f>
        <v>0.5788151515151515</v>
      </c>
      <c r="V15" s="329">
        <f>+(V16+V17+V18+V19+V20)*E15</f>
        <v>8.5862844786004616E-2</v>
      </c>
      <c r="W15" s="329">
        <f>+(W16+W17+W18+W19+W20)*E15</f>
        <v>6.7644015151515163E-2</v>
      </c>
      <c r="X15" s="284">
        <f>+AVERAGE(X16:X20)</f>
        <v>0.24497534144277869</v>
      </c>
      <c r="Y15" s="284">
        <f>+AVERAGE(Y16:Y20)</f>
        <v>0.35114450586560902</v>
      </c>
      <c r="Z15" s="284">
        <f>+(Z16+Z17+Z18+Z19+Z20)*E15</f>
        <v>2.2443072307612263E-2</v>
      </c>
      <c r="AA15" s="284">
        <f>+(AA16+AA17+AA18+AA19+AA20)</f>
        <v>0.39501720617566255</v>
      </c>
      <c r="AB15" s="285"/>
      <c r="AC15" s="657"/>
      <c r="AD15" s="275"/>
      <c r="AE15" s="275"/>
      <c r="AF15" s="275"/>
    </row>
    <row r="16" spans="1:112" ht="122.4" customHeight="1" thickBot="1" x14ac:dyDescent="0.45">
      <c r="A16" s="276"/>
      <c r="B16" s="897" t="s">
        <v>372</v>
      </c>
      <c r="C16" s="893" t="s">
        <v>373</v>
      </c>
      <c r="D16" s="331" t="s">
        <v>357</v>
      </c>
      <c r="E16" s="286">
        <v>0.1</v>
      </c>
      <c r="F16" s="287">
        <v>2390</v>
      </c>
      <c r="G16" s="307">
        <v>0</v>
      </c>
      <c r="H16" s="308">
        <v>585</v>
      </c>
      <c r="I16" s="297"/>
      <c r="J16" s="297">
        <f t="shared" si="5"/>
        <v>0.24476987447698745</v>
      </c>
      <c r="K16" s="298"/>
      <c r="L16" s="298">
        <f>+(H16/F16)*E16</f>
        <v>2.4476987447698745E-2</v>
      </c>
      <c r="M16" s="292"/>
      <c r="N16" s="595">
        <v>0</v>
      </c>
      <c r="O16" s="293">
        <v>0</v>
      </c>
      <c r="P16" s="293">
        <v>0</v>
      </c>
      <c r="Q16" s="292"/>
      <c r="R16" s="299">
        <f>+N16+O16+P16+Q16</f>
        <v>0</v>
      </c>
      <c r="S16" s="299">
        <f>+R16+M16</f>
        <v>0</v>
      </c>
      <c r="T16" s="309"/>
      <c r="U16" s="295">
        <v>0</v>
      </c>
      <c r="V16" s="295"/>
      <c r="W16" s="295">
        <f t="shared" si="6"/>
        <v>0</v>
      </c>
      <c r="X16" s="295"/>
      <c r="Y16" s="295">
        <v>0</v>
      </c>
      <c r="Z16" s="295"/>
      <c r="AA16" s="295">
        <f>+Y16*E16</f>
        <v>0</v>
      </c>
      <c r="AB16" s="592" t="s">
        <v>1775</v>
      </c>
      <c r="AC16" s="654" t="s">
        <v>1856</v>
      </c>
      <c r="AD16" s="654" t="s">
        <v>1856</v>
      </c>
      <c r="AE16" s="605" t="s">
        <v>1867</v>
      </c>
      <c r="AF16" s="605" t="s">
        <v>1897</v>
      </c>
    </row>
    <row r="17" spans="1:32" ht="122.4" customHeight="1" thickBot="1" x14ac:dyDescent="0.45">
      <c r="A17" s="276"/>
      <c r="B17" s="897" t="s">
        <v>374</v>
      </c>
      <c r="C17" s="893" t="s">
        <v>375</v>
      </c>
      <c r="D17" s="624" t="s">
        <v>357</v>
      </c>
      <c r="E17" s="286">
        <v>0.4</v>
      </c>
      <c r="F17" s="287">
        <f>106487*4</f>
        <v>425948</v>
      </c>
      <c r="G17" s="310">
        <v>106487</v>
      </c>
      <c r="H17" s="311">
        <v>106487</v>
      </c>
      <c r="I17" s="297">
        <f>+G17/F17</f>
        <v>0.25</v>
      </c>
      <c r="J17" s="297">
        <f t="shared" si="5"/>
        <v>0.25</v>
      </c>
      <c r="K17" s="298">
        <f>+(G17/F17)*E17</f>
        <v>0.1</v>
      </c>
      <c r="L17" s="298">
        <f t="shared" ref="L17:L48" si="10">+(H17/F17)*E17</f>
        <v>0.1</v>
      </c>
      <c r="M17" s="312">
        <v>100207</v>
      </c>
      <c r="N17" s="841">
        <v>101017</v>
      </c>
      <c r="O17" s="841">
        <v>106414</v>
      </c>
      <c r="P17" s="841">
        <v>106487</v>
      </c>
      <c r="Q17" s="312"/>
      <c r="R17" s="312">
        <f t="shared" ref="R17:R20" si="11">+N17+O17+P17+Q17</f>
        <v>313918</v>
      </c>
      <c r="S17" s="312">
        <f t="shared" ref="S17:S20" si="12">+R17+M17</f>
        <v>414125</v>
      </c>
      <c r="T17" s="294">
        <f>+(M17/G17)</f>
        <v>0.94102566510466068</v>
      </c>
      <c r="U17" s="301">
        <f>+(P17/H17)*0.75</f>
        <v>0.75</v>
      </c>
      <c r="V17" s="295">
        <f>+T17*E17</f>
        <v>0.37641026604186428</v>
      </c>
      <c r="W17" s="295">
        <f>+U17*E17</f>
        <v>0.30000000000000004</v>
      </c>
      <c r="X17" s="295">
        <f>+M17/F17</f>
        <v>0.23525641627616517</v>
      </c>
      <c r="Y17" s="805">
        <f>+X17+((N17*0.0625)/G17) +((O17*0.0625)/G17)+((P17*0.0625)/G17)</f>
        <v>0.41950308488360083</v>
      </c>
      <c r="Z17" s="295">
        <f>+X17*E17</f>
        <v>9.4102566510466071E-2</v>
      </c>
      <c r="AA17" s="295">
        <f>+Y17*E17</f>
        <v>0.16780123395344035</v>
      </c>
      <c r="AB17" s="592" t="s">
        <v>1775</v>
      </c>
      <c r="AC17" s="654" t="s">
        <v>1802</v>
      </c>
      <c r="AD17" s="654" t="s">
        <v>1856</v>
      </c>
      <c r="AE17" s="605" t="s">
        <v>1867</v>
      </c>
      <c r="AF17" s="605" t="s">
        <v>1897</v>
      </c>
    </row>
    <row r="18" spans="1:32" ht="122.4" customHeight="1" thickBot="1" x14ac:dyDescent="0.45">
      <c r="A18" s="276"/>
      <c r="B18" s="897" t="s">
        <v>376</v>
      </c>
      <c r="C18" s="898" t="s">
        <v>377</v>
      </c>
      <c r="D18" s="625" t="s">
        <v>357</v>
      </c>
      <c r="E18" s="286">
        <v>0.2</v>
      </c>
      <c r="F18" s="287">
        <v>22000</v>
      </c>
      <c r="G18" s="310">
        <v>5500</v>
      </c>
      <c r="H18" s="311">
        <v>5500</v>
      </c>
      <c r="I18" s="297">
        <f>+G18/F18</f>
        <v>0.25</v>
      </c>
      <c r="J18" s="297">
        <f t="shared" si="5"/>
        <v>0.25</v>
      </c>
      <c r="K18" s="298">
        <f>+(G18/F18)*E18</f>
        <v>0.05</v>
      </c>
      <c r="L18" s="298">
        <f t="shared" si="10"/>
        <v>0.05</v>
      </c>
      <c r="M18" s="312">
        <v>5011</v>
      </c>
      <c r="N18" s="841">
        <v>1787</v>
      </c>
      <c r="O18" s="841">
        <v>1100</v>
      </c>
      <c r="P18" s="841">
        <v>0</v>
      </c>
      <c r="Q18" s="313"/>
      <c r="R18" s="312">
        <f>+N18+O18</f>
        <v>2887</v>
      </c>
      <c r="S18" s="312">
        <f t="shared" si="12"/>
        <v>7898</v>
      </c>
      <c r="T18" s="294">
        <f>+(M18/G18)</f>
        <v>0.91109090909090906</v>
      </c>
      <c r="U18" s="295">
        <f>+R18/H18</f>
        <v>0.52490909090909088</v>
      </c>
      <c r="V18" s="295">
        <f>+T18*E18</f>
        <v>0.18221818181818183</v>
      </c>
      <c r="W18" s="295">
        <f t="shared" si="6"/>
        <v>0.10498181818181818</v>
      </c>
      <c r="X18" s="295">
        <f>+M18/F18</f>
        <v>0.22777272727272727</v>
      </c>
      <c r="Y18" s="295">
        <f t="shared" si="4"/>
        <v>0.35899999999999999</v>
      </c>
      <c r="Z18" s="295">
        <f>+X18*E18</f>
        <v>4.5554545454545459E-2</v>
      </c>
      <c r="AA18" s="295">
        <f>+Y18*E18</f>
        <v>7.1800000000000003E-2</v>
      </c>
      <c r="AB18" s="592" t="s">
        <v>1775</v>
      </c>
      <c r="AC18" s="655" t="s">
        <v>1799</v>
      </c>
      <c r="AD18" s="271"/>
      <c r="AE18" s="605" t="s">
        <v>1867</v>
      </c>
      <c r="AF18" s="605" t="s">
        <v>1897</v>
      </c>
    </row>
    <row r="19" spans="1:32" ht="162.6" customHeight="1" thickBot="1" x14ac:dyDescent="0.45">
      <c r="A19" s="276"/>
      <c r="B19" s="897" t="s">
        <v>378</v>
      </c>
      <c r="C19" s="898" t="s">
        <v>379</v>
      </c>
      <c r="D19" s="626" t="s">
        <v>357</v>
      </c>
      <c r="E19" s="286">
        <v>0.25</v>
      </c>
      <c r="F19" s="287">
        <v>40000</v>
      </c>
      <c r="G19" s="310">
        <v>10000</v>
      </c>
      <c r="H19" s="311">
        <v>10000</v>
      </c>
      <c r="I19" s="297">
        <f>+G19/F19</f>
        <v>0.25</v>
      </c>
      <c r="J19" s="297">
        <f t="shared" si="5"/>
        <v>0.25</v>
      </c>
      <c r="K19" s="298">
        <f>+(G19/F19)*E19</f>
        <v>6.25E-2</v>
      </c>
      <c r="L19" s="298">
        <f t="shared" si="10"/>
        <v>6.25E-2</v>
      </c>
      <c r="M19" s="312">
        <v>11786</v>
      </c>
      <c r="N19" s="841">
        <v>6000</v>
      </c>
      <c r="O19" s="841">
        <v>1400</v>
      </c>
      <c r="P19" s="841">
        <v>2125</v>
      </c>
      <c r="Q19" s="313"/>
      <c r="R19" s="312">
        <f t="shared" si="11"/>
        <v>9525</v>
      </c>
      <c r="S19" s="312">
        <f t="shared" si="12"/>
        <v>21311</v>
      </c>
      <c r="T19" s="294">
        <v>1</v>
      </c>
      <c r="U19" s="295">
        <f t="shared" si="3"/>
        <v>0.95250000000000001</v>
      </c>
      <c r="V19" s="295">
        <f>+T19*E19</f>
        <v>0.25</v>
      </c>
      <c r="W19" s="295">
        <f t="shared" si="6"/>
        <v>0.238125</v>
      </c>
      <c r="X19" s="295">
        <f>+M19/F19</f>
        <v>0.29465000000000002</v>
      </c>
      <c r="Y19" s="295">
        <f t="shared" si="4"/>
        <v>0.532775</v>
      </c>
      <c r="Z19" s="295">
        <f>+X19*E19</f>
        <v>7.3662500000000006E-2</v>
      </c>
      <c r="AA19" s="295">
        <f>+Y19*E19</f>
        <v>0.13319375</v>
      </c>
      <c r="AB19" s="592" t="s">
        <v>1775</v>
      </c>
      <c r="AC19" s="655" t="s">
        <v>1799</v>
      </c>
      <c r="AD19" s="271"/>
      <c r="AE19" s="605" t="s">
        <v>1867</v>
      </c>
      <c r="AF19" s="605" t="s">
        <v>1897</v>
      </c>
    </row>
    <row r="20" spans="1:32" ht="122.4" customHeight="1" thickBot="1" x14ac:dyDescent="0.45">
      <c r="A20" s="276"/>
      <c r="B20" s="897" t="s">
        <v>380</v>
      </c>
      <c r="C20" s="898" t="s">
        <v>381</v>
      </c>
      <c r="D20" s="626" t="s">
        <v>357</v>
      </c>
      <c r="E20" s="286">
        <v>0.05</v>
      </c>
      <c r="F20" s="287">
        <v>45</v>
      </c>
      <c r="G20" s="307">
        <v>10</v>
      </c>
      <c r="H20" s="308">
        <v>15</v>
      </c>
      <c r="I20" s="297">
        <f>+G20/F20</f>
        <v>0.22222222222222221</v>
      </c>
      <c r="J20" s="297">
        <f t="shared" si="5"/>
        <v>0.33333333333333331</v>
      </c>
      <c r="K20" s="298">
        <f>+(G20/F20)*E20</f>
        <v>1.1111111111111112E-2</v>
      </c>
      <c r="L20" s="298">
        <f t="shared" si="10"/>
        <v>1.6666666666666666E-2</v>
      </c>
      <c r="M20" s="314">
        <v>10</v>
      </c>
      <c r="N20" s="595">
        <v>0</v>
      </c>
      <c r="O20" s="293">
        <v>0</v>
      </c>
      <c r="P20" s="293">
        <v>10</v>
      </c>
      <c r="Q20" s="314"/>
      <c r="R20" s="314">
        <f t="shared" si="11"/>
        <v>10</v>
      </c>
      <c r="S20" s="314">
        <f t="shared" si="12"/>
        <v>20</v>
      </c>
      <c r="T20" s="294">
        <v>1</v>
      </c>
      <c r="U20" s="295">
        <f t="shared" si="3"/>
        <v>0.66666666666666663</v>
      </c>
      <c r="V20" s="295">
        <f>+T20*E20</f>
        <v>0.05</v>
      </c>
      <c r="W20" s="295">
        <f t="shared" si="6"/>
        <v>3.3333333333333333E-2</v>
      </c>
      <c r="X20" s="295">
        <f>+M20/F20</f>
        <v>0.22222222222222221</v>
      </c>
      <c r="Y20" s="295">
        <f t="shared" si="4"/>
        <v>0.44444444444444442</v>
      </c>
      <c r="Z20" s="295">
        <f>+X20*E20</f>
        <v>1.1111111111111112E-2</v>
      </c>
      <c r="AA20" s="295">
        <f>+Y20*E20</f>
        <v>2.2222222222222223E-2</v>
      </c>
      <c r="AB20" s="592" t="s">
        <v>1775</v>
      </c>
      <c r="AC20" s="655" t="s">
        <v>1799</v>
      </c>
      <c r="AD20" s="842"/>
      <c r="AE20" s="602" t="s">
        <v>1867</v>
      </c>
      <c r="AF20" s="602" t="s">
        <v>1897</v>
      </c>
    </row>
    <row r="21" spans="1:32" ht="122.4" customHeight="1" thickBot="1" x14ac:dyDescent="0.5">
      <c r="A21" s="276"/>
      <c r="B21" s="953" t="s">
        <v>1572</v>
      </c>
      <c r="C21" s="954"/>
      <c r="D21" s="627"/>
      <c r="E21" s="282">
        <v>0.1</v>
      </c>
      <c r="F21" s="287"/>
      <c r="G21" s="303"/>
      <c r="H21" s="283"/>
      <c r="I21" s="304">
        <f>+AVERAGE(I22:I28)</f>
        <v>0.28974632671496775</v>
      </c>
      <c r="J21" s="304">
        <f>+AVERAGE(J22:J28)</f>
        <v>0.22570672713529855</v>
      </c>
      <c r="K21" s="305">
        <f>+K22+K23+K24+K25+K26+K27+K28</f>
        <v>0.28333533359143115</v>
      </c>
      <c r="L21" s="305">
        <f>+L22+L23+L24+L25+L26+L27+L28</f>
        <v>0.22066402116402117</v>
      </c>
      <c r="M21" s="292"/>
      <c r="N21" s="306"/>
      <c r="O21" s="306"/>
      <c r="P21" s="306"/>
      <c r="Q21" s="306"/>
      <c r="R21" s="306"/>
      <c r="S21" s="306"/>
      <c r="T21" s="525">
        <f>+AVERAGE(T22:T28)</f>
        <v>0.8571428571428571</v>
      </c>
      <c r="U21" s="525">
        <f>+AVERAGE(U22:U28)</f>
        <v>0.75427203510130336</v>
      </c>
      <c r="V21" s="329">
        <f>+(V22+V23+V24+V25+V26+V27+V28)*E21</f>
        <v>7.5000000000000011E-2</v>
      </c>
      <c r="W21" s="329">
        <f>+(W22+W23+W24+W25+W26+W27+W28)*E21</f>
        <v>7.7985862691960256E-2</v>
      </c>
      <c r="X21" s="284">
        <f>+AVERAGE(X22:X28)</f>
        <v>0.38444241653300881</v>
      </c>
      <c r="Y21" s="284">
        <f>+AVERAGE(Y22:Y28)</f>
        <v>0.54773730250907948</v>
      </c>
      <c r="Z21" s="284">
        <f>+(Z22+Z23+Z24+Z25+Z26+Z27+Z28)*E21</f>
        <v>3.9090985933668859E-2</v>
      </c>
      <c r="AA21" s="284">
        <f>+(AA22+AA23+AA24+AA25+AA26+AA27+AA28)</f>
        <v>0.56465087430636207</v>
      </c>
      <c r="AB21" s="285"/>
      <c r="AC21" s="274"/>
      <c r="AD21" s="275"/>
      <c r="AE21" s="275"/>
      <c r="AF21" s="275"/>
    </row>
    <row r="22" spans="1:32" ht="122.4" customHeight="1" thickBot="1" x14ac:dyDescent="0.45">
      <c r="A22" s="276"/>
      <c r="B22" s="897" t="s">
        <v>382</v>
      </c>
      <c r="C22" s="898" t="s">
        <v>383</v>
      </c>
      <c r="D22" s="487" t="s">
        <v>357</v>
      </c>
      <c r="E22" s="286">
        <v>0.1</v>
      </c>
      <c r="F22" s="287">
        <v>72</v>
      </c>
      <c r="G22" s="307">
        <v>48</v>
      </c>
      <c r="H22" s="308">
        <v>8</v>
      </c>
      <c r="I22" s="297">
        <f t="shared" ref="I22:I28" si="13">+G22/F22</f>
        <v>0.66666666666666663</v>
      </c>
      <c r="J22" s="297">
        <f t="shared" si="5"/>
        <v>0.1111111111111111</v>
      </c>
      <c r="K22" s="298">
        <f t="shared" ref="K22:K28" si="14">+(G22/F22)*E22</f>
        <v>6.6666666666666666E-2</v>
      </c>
      <c r="L22" s="298">
        <f t="shared" si="10"/>
        <v>1.1111111111111112E-2</v>
      </c>
      <c r="M22" s="292">
        <v>48</v>
      </c>
      <c r="N22" s="595">
        <v>0</v>
      </c>
      <c r="O22" s="293">
        <v>8</v>
      </c>
      <c r="P22" s="293">
        <v>0</v>
      </c>
      <c r="Q22" s="292"/>
      <c r="R22" s="292">
        <f t="shared" ref="R22:R28" si="15">+N22+O22+P22+Q22</f>
        <v>8</v>
      </c>
      <c r="S22" s="292">
        <f t="shared" ref="S22:S28" si="16">+R22+M22</f>
        <v>56</v>
      </c>
      <c r="T22" s="294">
        <v>1</v>
      </c>
      <c r="U22" s="295">
        <f t="shared" si="3"/>
        <v>1</v>
      </c>
      <c r="V22" s="295">
        <f t="shared" ref="V22:V28" si="17">+T22*E22</f>
        <v>0.1</v>
      </c>
      <c r="W22" s="295">
        <f t="shared" si="6"/>
        <v>0.1</v>
      </c>
      <c r="X22" s="295">
        <f t="shared" ref="X22:X28" si="18">+M22/F22</f>
        <v>0.66666666666666663</v>
      </c>
      <c r="Y22" s="295">
        <f t="shared" si="4"/>
        <v>0.77777777777777779</v>
      </c>
      <c r="Z22" s="295">
        <f t="shared" ref="Z22:Z28" si="19">+X22*E22</f>
        <v>6.6666666666666666E-2</v>
      </c>
      <c r="AA22" s="295">
        <f t="shared" ref="AA22:AA28" si="20">+Y22*E22</f>
        <v>7.7777777777777779E-2</v>
      </c>
      <c r="AB22" s="296" t="s">
        <v>1775</v>
      </c>
      <c r="AC22" s="618" t="s">
        <v>1799</v>
      </c>
      <c r="AD22" s="272"/>
      <c r="AE22" s="605" t="s">
        <v>1867</v>
      </c>
      <c r="AF22" s="602" t="s">
        <v>1897</v>
      </c>
    </row>
    <row r="23" spans="1:32" ht="122.4" customHeight="1" thickBot="1" x14ac:dyDescent="0.45">
      <c r="A23" s="276"/>
      <c r="B23" s="897" t="s">
        <v>384</v>
      </c>
      <c r="C23" s="898" t="s">
        <v>385</v>
      </c>
      <c r="D23" s="487" t="s">
        <v>357</v>
      </c>
      <c r="E23" s="286">
        <v>0.15</v>
      </c>
      <c r="F23" s="287">
        <v>4</v>
      </c>
      <c r="G23" s="307">
        <v>2</v>
      </c>
      <c r="H23" s="308">
        <v>1</v>
      </c>
      <c r="I23" s="297">
        <f t="shared" si="13"/>
        <v>0.5</v>
      </c>
      <c r="J23" s="297">
        <f t="shared" si="5"/>
        <v>0.25</v>
      </c>
      <c r="K23" s="298">
        <f t="shared" si="14"/>
        <v>7.4999999999999997E-2</v>
      </c>
      <c r="L23" s="298">
        <f t="shared" si="10"/>
        <v>3.7499999999999999E-2</v>
      </c>
      <c r="M23" s="292">
        <v>3</v>
      </c>
      <c r="N23" s="595">
        <v>0</v>
      </c>
      <c r="O23" s="293">
        <v>0</v>
      </c>
      <c r="P23" s="293">
        <v>1</v>
      </c>
      <c r="Q23" s="292"/>
      <c r="R23" s="292">
        <f t="shared" si="15"/>
        <v>1</v>
      </c>
      <c r="S23" s="292">
        <f t="shared" si="16"/>
        <v>4</v>
      </c>
      <c r="T23" s="294">
        <v>1</v>
      </c>
      <c r="U23" s="295">
        <f t="shared" si="3"/>
        <v>1</v>
      </c>
      <c r="V23" s="295">
        <f t="shared" si="17"/>
        <v>0.15</v>
      </c>
      <c r="W23" s="295">
        <f t="shared" si="6"/>
        <v>0.15</v>
      </c>
      <c r="X23" s="295">
        <f t="shared" si="18"/>
        <v>0.75</v>
      </c>
      <c r="Y23" s="295">
        <f t="shared" si="4"/>
        <v>1</v>
      </c>
      <c r="Z23" s="295">
        <f t="shared" si="19"/>
        <v>0.11249999999999999</v>
      </c>
      <c r="AA23" s="295">
        <f t="shared" si="20"/>
        <v>0.15</v>
      </c>
      <c r="AB23" s="296" t="s">
        <v>1775</v>
      </c>
      <c r="AC23" s="593" t="s">
        <v>1803</v>
      </c>
      <c r="AD23" s="272"/>
      <c r="AE23" s="605" t="s">
        <v>1867</v>
      </c>
      <c r="AF23" s="602" t="s">
        <v>1897</v>
      </c>
    </row>
    <row r="24" spans="1:32" ht="122.4" customHeight="1" thickBot="1" x14ac:dyDescent="0.45">
      <c r="A24" s="276"/>
      <c r="B24" s="899" t="s">
        <v>386</v>
      </c>
      <c r="C24" s="900" t="s">
        <v>387</v>
      </c>
      <c r="D24" s="628" t="s">
        <v>357</v>
      </c>
      <c r="E24" s="286">
        <v>0.2</v>
      </c>
      <c r="F24" s="287">
        <v>27</v>
      </c>
      <c r="G24" s="307">
        <v>2</v>
      </c>
      <c r="H24" s="308">
        <v>2</v>
      </c>
      <c r="I24" s="297">
        <f t="shared" si="13"/>
        <v>7.407407407407407E-2</v>
      </c>
      <c r="J24" s="297">
        <f t="shared" si="5"/>
        <v>7.407407407407407E-2</v>
      </c>
      <c r="K24" s="298">
        <f t="shared" si="14"/>
        <v>1.4814814814814815E-2</v>
      </c>
      <c r="L24" s="298">
        <f t="shared" si="10"/>
        <v>1.4814814814814815E-2</v>
      </c>
      <c r="M24" s="292">
        <v>20</v>
      </c>
      <c r="N24" s="595">
        <v>5</v>
      </c>
      <c r="O24" s="293">
        <v>0</v>
      </c>
      <c r="P24" s="293">
        <v>0</v>
      </c>
      <c r="Q24" s="292"/>
      <c r="R24" s="292">
        <f t="shared" si="15"/>
        <v>5</v>
      </c>
      <c r="S24" s="292">
        <f t="shared" si="16"/>
        <v>25</v>
      </c>
      <c r="T24" s="294">
        <v>1</v>
      </c>
      <c r="U24" s="295">
        <v>1</v>
      </c>
      <c r="V24" s="295">
        <f t="shared" si="17"/>
        <v>0.2</v>
      </c>
      <c r="W24" s="295">
        <f t="shared" si="6"/>
        <v>0.2</v>
      </c>
      <c r="X24" s="295">
        <f t="shared" si="18"/>
        <v>0.7407407407407407</v>
      </c>
      <c r="Y24" s="295">
        <f t="shared" si="4"/>
        <v>0.92592592592592593</v>
      </c>
      <c r="Z24" s="295">
        <f t="shared" si="19"/>
        <v>0.14814814814814814</v>
      </c>
      <c r="AA24" s="295">
        <f t="shared" si="20"/>
        <v>0.1851851851851852</v>
      </c>
      <c r="AB24" s="296" t="s">
        <v>1775</v>
      </c>
      <c r="AC24" s="594" t="s">
        <v>1799</v>
      </c>
      <c r="AD24" s="272"/>
      <c r="AE24" s="605" t="s">
        <v>1867</v>
      </c>
      <c r="AF24" s="602" t="s">
        <v>1897</v>
      </c>
    </row>
    <row r="25" spans="1:32" ht="145.19999999999999" customHeight="1" thickBot="1" x14ac:dyDescent="0.45">
      <c r="A25" s="276"/>
      <c r="B25" s="901" t="s">
        <v>388</v>
      </c>
      <c r="C25" s="902" t="s">
        <v>389</v>
      </c>
      <c r="D25" s="487" t="s">
        <v>357</v>
      </c>
      <c r="E25" s="286">
        <v>0.25</v>
      </c>
      <c r="F25" s="287">
        <v>4000</v>
      </c>
      <c r="G25" s="307">
        <v>1000</v>
      </c>
      <c r="H25" s="308">
        <v>1000</v>
      </c>
      <c r="I25" s="297">
        <f t="shared" si="13"/>
        <v>0.25</v>
      </c>
      <c r="J25" s="297">
        <f t="shared" si="5"/>
        <v>0.25</v>
      </c>
      <c r="K25" s="298">
        <f t="shared" si="14"/>
        <v>6.25E-2</v>
      </c>
      <c r="L25" s="298">
        <f t="shared" si="10"/>
        <v>6.25E-2</v>
      </c>
      <c r="M25" s="292">
        <v>0</v>
      </c>
      <c r="N25" s="595">
        <v>481</v>
      </c>
      <c r="O25" s="293">
        <v>172</v>
      </c>
      <c r="P25" s="293">
        <v>169</v>
      </c>
      <c r="Q25" s="292"/>
      <c r="R25" s="292">
        <f t="shared" si="15"/>
        <v>822</v>
      </c>
      <c r="S25" s="292">
        <f t="shared" si="16"/>
        <v>822</v>
      </c>
      <c r="T25" s="294">
        <f>+(M25/G25)</f>
        <v>0</v>
      </c>
      <c r="U25" s="295">
        <f t="shared" si="3"/>
        <v>0.82199999999999995</v>
      </c>
      <c r="V25" s="295">
        <f t="shared" si="17"/>
        <v>0</v>
      </c>
      <c r="W25" s="295">
        <f t="shared" si="6"/>
        <v>0.20549999999999999</v>
      </c>
      <c r="X25" s="295">
        <f t="shared" si="18"/>
        <v>0</v>
      </c>
      <c r="Y25" s="295">
        <f t="shared" si="4"/>
        <v>0.20549999999999999</v>
      </c>
      <c r="Z25" s="295">
        <f t="shared" si="19"/>
        <v>0</v>
      </c>
      <c r="AA25" s="295">
        <f t="shared" si="20"/>
        <v>5.1374999999999997E-2</v>
      </c>
      <c r="AB25" s="296" t="s">
        <v>1775</v>
      </c>
      <c r="AC25" s="594" t="s">
        <v>1799</v>
      </c>
      <c r="AD25" s="806" t="s">
        <v>1860</v>
      </c>
      <c r="AE25" s="654" t="s">
        <v>1873</v>
      </c>
      <c r="AF25" s="602" t="s">
        <v>1897</v>
      </c>
    </row>
    <row r="26" spans="1:32" ht="160.19999999999999" customHeight="1" thickBot="1" x14ac:dyDescent="0.45">
      <c r="A26" s="276"/>
      <c r="B26" s="903" t="s">
        <v>390</v>
      </c>
      <c r="C26" s="904" t="s">
        <v>391</v>
      </c>
      <c r="D26" s="487" t="s">
        <v>357</v>
      </c>
      <c r="E26" s="286">
        <v>0.2</v>
      </c>
      <c r="F26" s="287">
        <v>3690</v>
      </c>
      <c r="G26" s="307">
        <v>922</v>
      </c>
      <c r="H26" s="308">
        <v>1230</v>
      </c>
      <c r="I26" s="297">
        <f t="shared" si="13"/>
        <v>0.24986449864498644</v>
      </c>
      <c r="J26" s="297">
        <f t="shared" si="5"/>
        <v>0.33333333333333331</v>
      </c>
      <c r="K26" s="298">
        <f t="shared" si="14"/>
        <v>4.9972899728997294E-2</v>
      </c>
      <c r="L26" s="298">
        <f t="shared" si="10"/>
        <v>6.6666666666666666E-2</v>
      </c>
      <c r="M26" s="292">
        <v>908</v>
      </c>
      <c r="N26" s="595">
        <v>50</v>
      </c>
      <c r="O26" s="293">
        <v>372</v>
      </c>
      <c r="P26" s="293">
        <v>0</v>
      </c>
      <c r="Q26" s="292"/>
      <c r="R26" s="292">
        <f t="shared" si="15"/>
        <v>422</v>
      </c>
      <c r="S26" s="292">
        <f t="shared" si="16"/>
        <v>1330</v>
      </c>
      <c r="T26" s="294">
        <v>1</v>
      </c>
      <c r="U26" s="295">
        <f t="shared" si="3"/>
        <v>0.34308943089430893</v>
      </c>
      <c r="V26" s="295">
        <f t="shared" si="17"/>
        <v>0.2</v>
      </c>
      <c r="W26" s="295">
        <f t="shared" si="6"/>
        <v>6.8617886178861789E-2</v>
      </c>
      <c r="X26" s="295">
        <f t="shared" si="18"/>
        <v>0.24607046070460706</v>
      </c>
      <c r="Y26" s="295">
        <f t="shared" si="4"/>
        <v>0.36043360433604338</v>
      </c>
      <c r="Z26" s="295">
        <f t="shared" si="19"/>
        <v>4.9214092140921414E-2</v>
      </c>
      <c r="AA26" s="295">
        <f t="shared" si="20"/>
        <v>7.2086720867208673E-2</v>
      </c>
      <c r="AB26" s="296" t="s">
        <v>1775</v>
      </c>
      <c r="AC26" s="594" t="s">
        <v>1799</v>
      </c>
      <c r="AD26" s="594" t="s">
        <v>1860</v>
      </c>
      <c r="AE26" s="654" t="s">
        <v>1874</v>
      </c>
      <c r="AF26" s="602" t="s">
        <v>1897</v>
      </c>
    </row>
    <row r="27" spans="1:32" ht="122.4" customHeight="1" thickBot="1" x14ac:dyDescent="0.45">
      <c r="A27" s="276"/>
      <c r="B27" s="905" t="s">
        <v>392</v>
      </c>
      <c r="C27" s="906" t="s">
        <v>393</v>
      </c>
      <c r="D27" s="628" t="s">
        <v>357</v>
      </c>
      <c r="E27" s="286">
        <v>0.05</v>
      </c>
      <c r="F27" s="287">
        <v>8400</v>
      </c>
      <c r="G27" s="307">
        <v>400</v>
      </c>
      <c r="H27" s="308">
        <v>2700</v>
      </c>
      <c r="I27" s="297">
        <f t="shared" si="13"/>
        <v>4.7619047619047616E-2</v>
      </c>
      <c r="J27" s="297">
        <f t="shared" si="5"/>
        <v>0.32142857142857145</v>
      </c>
      <c r="K27" s="298">
        <f t="shared" si="14"/>
        <v>2.3809523809523812E-3</v>
      </c>
      <c r="L27" s="298">
        <f t="shared" si="10"/>
        <v>1.6071428571428573E-2</v>
      </c>
      <c r="M27" s="292">
        <v>400</v>
      </c>
      <c r="N27" s="595">
        <v>0</v>
      </c>
      <c r="O27" s="293">
        <v>255</v>
      </c>
      <c r="P27" s="293">
        <v>55</v>
      </c>
      <c r="Q27" s="292"/>
      <c r="R27" s="292">
        <f t="shared" si="15"/>
        <v>310</v>
      </c>
      <c r="S27" s="292">
        <f t="shared" si="16"/>
        <v>710</v>
      </c>
      <c r="T27" s="294">
        <v>1</v>
      </c>
      <c r="U27" s="295">
        <f t="shared" si="3"/>
        <v>0.11481481481481481</v>
      </c>
      <c r="V27" s="295">
        <f t="shared" si="17"/>
        <v>0.05</v>
      </c>
      <c r="W27" s="295">
        <f t="shared" si="6"/>
        <v>5.7407407407407407E-3</v>
      </c>
      <c r="X27" s="295">
        <f t="shared" si="18"/>
        <v>4.7619047619047616E-2</v>
      </c>
      <c r="Y27" s="295">
        <f t="shared" si="4"/>
        <v>8.4523809523809529E-2</v>
      </c>
      <c r="Z27" s="295">
        <f t="shared" si="19"/>
        <v>2.3809523809523812E-3</v>
      </c>
      <c r="AA27" s="295">
        <f t="shared" si="20"/>
        <v>4.2261904761904763E-3</v>
      </c>
      <c r="AB27" s="296" t="s">
        <v>1775</v>
      </c>
      <c r="AC27" s="594" t="s">
        <v>1799</v>
      </c>
      <c r="AD27" s="594" t="s">
        <v>1860</v>
      </c>
      <c r="AE27" s="605" t="s">
        <v>1867</v>
      </c>
      <c r="AF27" s="602" t="s">
        <v>1897</v>
      </c>
    </row>
    <row r="28" spans="1:32" ht="122.4" customHeight="1" thickBot="1" x14ac:dyDescent="0.45">
      <c r="A28" s="276"/>
      <c r="B28" s="903" t="s">
        <v>394</v>
      </c>
      <c r="C28" s="904" t="s">
        <v>395</v>
      </c>
      <c r="D28" s="487" t="s">
        <v>357</v>
      </c>
      <c r="E28" s="286">
        <v>0.05</v>
      </c>
      <c r="F28" s="287">
        <v>50</v>
      </c>
      <c r="G28" s="307">
        <v>12</v>
      </c>
      <c r="H28" s="308">
        <v>12</v>
      </c>
      <c r="I28" s="297">
        <f t="shared" si="13"/>
        <v>0.24</v>
      </c>
      <c r="J28" s="297">
        <f t="shared" si="5"/>
        <v>0.24</v>
      </c>
      <c r="K28" s="298">
        <f t="shared" si="14"/>
        <v>1.2E-2</v>
      </c>
      <c r="L28" s="298">
        <f t="shared" si="10"/>
        <v>1.2E-2</v>
      </c>
      <c r="M28" s="292">
        <v>12</v>
      </c>
      <c r="N28" s="595">
        <v>0</v>
      </c>
      <c r="O28" s="293">
        <v>12</v>
      </c>
      <c r="P28" s="293">
        <v>0</v>
      </c>
      <c r="Q28" s="292"/>
      <c r="R28" s="292">
        <f t="shared" si="15"/>
        <v>12</v>
      </c>
      <c r="S28" s="292">
        <f t="shared" si="16"/>
        <v>24</v>
      </c>
      <c r="T28" s="294">
        <v>1</v>
      </c>
      <c r="U28" s="295">
        <f t="shared" si="3"/>
        <v>1</v>
      </c>
      <c r="V28" s="295">
        <f t="shared" si="17"/>
        <v>0.05</v>
      </c>
      <c r="W28" s="295">
        <f t="shared" si="6"/>
        <v>0.05</v>
      </c>
      <c r="X28" s="295">
        <f t="shared" si="18"/>
        <v>0.24</v>
      </c>
      <c r="Y28" s="295">
        <f t="shared" si="4"/>
        <v>0.48</v>
      </c>
      <c r="Z28" s="295">
        <f t="shared" si="19"/>
        <v>1.2E-2</v>
      </c>
      <c r="AA28" s="295">
        <f t="shared" si="20"/>
        <v>2.4E-2</v>
      </c>
      <c r="AB28" s="296" t="s">
        <v>1775</v>
      </c>
      <c r="AC28" s="594" t="s">
        <v>1799</v>
      </c>
      <c r="AD28" s="272"/>
      <c r="AE28" s="605" t="s">
        <v>1867</v>
      </c>
      <c r="AF28" s="602" t="s">
        <v>1897</v>
      </c>
    </row>
    <row r="29" spans="1:32" ht="122.4" customHeight="1" thickBot="1" x14ac:dyDescent="0.5">
      <c r="A29" s="276"/>
      <c r="B29" s="953" t="s">
        <v>1573</v>
      </c>
      <c r="C29" s="954"/>
      <c r="D29" s="623"/>
      <c r="E29" s="282">
        <v>0.05</v>
      </c>
      <c r="F29" s="302"/>
      <c r="G29" s="303"/>
      <c r="H29" s="283"/>
      <c r="I29" s="304">
        <f>+AVERAGE(I30:I33)</f>
        <v>0.15707666719467767</v>
      </c>
      <c r="J29" s="304">
        <f>+AVERAGE(J30:J33)</f>
        <v>0.26624623792174879</v>
      </c>
      <c r="K29" s="305">
        <f>+K30+K31+K32+K33</f>
        <v>0.14557658799303025</v>
      </c>
      <c r="L29" s="305">
        <f>+L30+L31+L32+L33</f>
        <v>0.263632583557738</v>
      </c>
      <c r="M29" s="292"/>
      <c r="N29" s="306"/>
      <c r="O29" s="306"/>
      <c r="P29" s="306"/>
      <c r="Q29" s="306"/>
      <c r="R29" s="306"/>
      <c r="S29" s="306"/>
      <c r="T29" s="525">
        <f>+AVERAGE(T30:T33)</f>
        <v>0.98</v>
      </c>
      <c r="U29" s="525">
        <f>+AVERAGE(U30:U33)</f>
        <v>1</v>
      </c>
      <c r="V29" s="329">
        <f>+(V30+V31+V32+V33)*E29</f>
        <v>4.9200000000000008E-2</v>
      </c>
      <c r="W29" s="329">
        <f>+(W30+W31+W32+W33)*E29</f>
        <v>0.05</v>
      </c>
      <c r="X29" s="284">
        <f>+AVERAGE(X30:X33)</f>
        <v>0.28525463329637252</v>
      </c>
      <c r="Y29" s="284">
        <f>+AVERAGE(Y30:Y33)</f>
        <v>0.66717487723744651</v>
      </c>
      <c r="Z29" s="284">
        <f>+(Z30+Z31+Z32+Z33)*E29</f>
        <v>1.4958914145414224E-2</v>
      </c>
      <c r="AA29" s="284">
        <f>+(AA30+AA31+AA32+AA33)</f>
        <v>0.67568905433233006</v>
      </c>
      <c r="AB29" s="285"/>
      <c r="AC29" s="271"/>
      <c r="AD29" s="272"/>
      <c r="AE29" s="272"/>
      <c r="AF29" s="272"/>
    </row>
    <row r="30" spans="1:32" ht="160.19999999999999" customHeight="1" thickBot="1" x14ac:dyDescent="0.45">
      <c r="A30" s="276"/>
      <c r="B30" s="897" t="s">
        <v>396</v>
      </c>
      <c r="C30" s="898" t="s">
        <v>397</v>
      </c>
      <c r="D30" s="629" t="s">
        <v>357</v>
      </c>
      <c r="E30" s="315">
        <v>0.25</v>
      </c>
      <c r="F30" s="287">
        <v>236</v>
      </c>
      <c r="G30" s="307">
        <v>10</v>
      </c>
      <c r="H30" s="308">
        <v>59</v>
      </c>
      <c r="I30" s="297">
        <f>+G30/F30</f>
        <v>4.2372881355932202E-2</v>
      </c>
      <c r="J30" s="297">
        <f t="shared" si="5"/>
        <v>0.25</v>
      </c>
      <c r="K30" s="298">
        <f>+(G30/F30)*E30</f>
        <v>1.059322033898305E-2</v>
      </c>
      <c r="L30" s="298">
        <f t="shared" si="10"/>
        <v>6.25E-2</v>
      </c>
      <c r="M30" s="292">
        <v>71</v>
      </c>
      <c r="N30" s="595">
        <v>59</v>
      </c>
      <c r="O30" s="293">
        <v>0</v>
      </c>
      <c r="P30" s="293">
        <v>0</v>
      </c>
      <c r="Q30" s="292"/>
      <c r="R30" s="292">
        <f t="shared" ref="R30:R33" si="21">+N30+O30+P30+Q30</f>
        <v>59</v>
      </c>
      <c r="S30" s="292">
        <f t="shared" ref="S30:S33" si="22">+R30+M30</f>
        <v>130</v>
      </c>
      <c r="T30" s="294">
        <v>1</v>
      </c>
      <c r="U30" s="295">
        <f t="shared" si="3"/>
        <v>1</v>
      </c>
      <c r="V30" s="295">
        <f>+T30*E30</f>
        <v>0.25</v>
      </c>
      <c r="W30" s="295">
        <f t="shared" si="6"/>
        <v>0.25</v>
      </c>
      <c r="X30" s="295">
        <f>+M30/F30</f>
        <v>0.30084745762711862</v>
      </c>
      <c r="Y30" s="295">
        <f t="shared" si="4"/>
        <v>0.55084745762711862</v>
      </c>
      <c r="Z30" s="295">
        <f>+X30*E30</f>
        <v>7.5211864406779655E-2</v>
      </c>
      <c r="AA30" s="295">
        <f>+Y30*E30</f>
        <v>0.13771186440677965</v>
      </c>
      <c r="AB30" s="296" t="s">
        <v>1775</v>
      </c>
      <c r="AC30" s="594" t="s">
        <v>1799</v>
      </c>
      <c r="AD30" s="594" t="s">
        <v>1860</v>
      </c>
      <c r="AE30" s="605" t="s">
        <v>1867</v>
      </c>
      <c r="AF30" s="602" t="s">
        <v>1897</v>
      </c>
    </row>
    <row r="31" spans="1:32" ht="142.19999999999999" customHeight="1" thickBot="1" x14ac:dyDescent="0.45">
      <c r="A31" s="276"/>
      <c r="B31" s="897" t="s">
        <v>398</v>
      </c>
      <c r="C31" s="898" t="s">
        <v>399</v>
      </c>
      <c r="D31" s="629" t="s">
        <v>357</v>
      </c>
      <c r="E31" s="315">
        <v>0.35</v>
      </c>
      <c r="F31" s="287">
        <v>59</v>
      </c>
      <c r="G31" s="307">
        <v>7</v>
      </c>
      <c r="H31" s="308">
        <v>15</v>
      </c>
      <c r="I31" s="297">
        <f>+G31/F31</f>
        <v>0.11864406779661017</v>
      </c>
      <c r="J31" s="297">
        <f t="shared" si="5"/>
        <v>0.25423728813559321</v>
      </c>
      <c r="K31" s="298">
        <f>+(G31/F31)*E31</f>
        <v>4.1525423728813557E-2</v>
      </c>
      <c r="L31" s="298">
        <f t="shared" si="10"/>
        <v>8.8983050847457612E-2</v>
      </c>
      <c r="M31" s="292">
        <v>22</v>
      </c>
      <c r="N31" s="595">
        <v>0</v>
      </c>
      <c r="O31" s="293">
        <v>15</v>
      </c>
      <c r="P31" s="293">
        <v>8</v>
      </c>
      <c r="Q31" s="292"/>
      <c r="R31" s="292">
        <f t="shared" si="21"/>
        <v>23</v>
      </c>
      <c r="S31" s="292">
        <f t="shared" si="22"/>
        <v>45</v>
      </c>
      <c r="T31" s="294">
        <v>1</v>
      </c>
      <c r="U31" s="295">
        <v>1</v>
      </c>
      <c r="V31" s="295">
        <f>+T31*E31</f>
        <v>0.35</v>
      </c>
      <c r="W31" s="295">
        <f t="shared" si="6"/>
        <v>0.35</v>
      </c>
      <c r="X31" s="295">
        <f>+M31/F31</f>
        <v>0.3728813559322034</v>
      </c>
      <c r="Y31" s="295">
        <f t="shared" si="4"/>
        <v>0.76271186440677963</v>
      </c>
      <c r="Z31" s="295">
        <f>+X31*E31</f>
        <v>0.13050847457627118</v>
      </c>
      <c r="AA31" s="295">
        <f>+Y31*E31</f>
        <v>0.26694915254237284</v>
      </c>
      <c r="AB31" s="296" t="s">
        <v>1775</v>
      </c>
      <c r="AC31" s="594" t="s">
        <v>1799</v>
      </c>
      <c r="AD31" s="272"/>
      <c r="AE31" s="605" t="s">
        <v>1867</v>
      </c>
      <c r="AF31" s="602" t="s">
        <v>1897</v>
      </c>
    </row>
    <row r="32" spans="1:32" ht="122.4" customHeight="1" thickBot="1" x14ac:dyDescent="0.45">
      <c r="A32" s="276"/>
      <c r="B32" s="897" t="s">
        <v>400</v>
      </c>
      <c r="C32" s="898" t="s">
        <v>401</v>
      </c>
      <c r="D32" s="629" t="s">
        <v>357</v>
      </c>
      <c r="E32" s="315">
        <v>0.2</v>
      </c>
      <c r="F32" s="287">
        <v>107</v>
      </c>
      <c r="G32" s="307">
        <v>25</v>
      </c>
      <c r="H32" s="308">
        <v>30</v>
      </c>
      <c r="I32" s="297">
        <f>+G32/F32</f>
        <v>0.23364485981308411</v>
      </c>
      <c r="J32" s="297">
        <f t="shared" si="5"/>
        <v>0.28037383177570091</v>
      </c>
      <c r="K32" s="298">
        <f>+(G32/F32)*E32</f>
        <v>4.6728971962616828E-2</v>
      </c>
      <c r="L32" s="298">
        <f t="shared" si="10"/>
        <v>5.6074766355140186E-2</v>
      </c>
      <c r="M32" s="314">
        <v>27</v>
      </c>
      <c r="N32" s="595">
        <v>21</v>
      </c>
      <c r="O32" s="293">
        <v>30</v>
      </c>
      <c r="P32" s="293">
        <v>7</v>
      </c>
      <c r="Q32" s="314"/>
      <c r="R32" s="314">
        <f t="shared" si="21"/>
        <v>58</v>
      </c>
      <c r="S32" s="314">
        <f t="shared" si="22"/>
        <v>85</v>
      </c>
      <c r="T32" s="294">
        <v>1</v>
      </c>
      <c r="U32" s="295">
        <v>1</v>
      </c>
      <c r="V32" s="295">
        <f>+T32*E32</f>
        <v>0.2</v>
      </c>
      <c r="W32" s="295">
        <f t="shared" si="6"/>
        <v>0.2</v>
      </c>
      <c r="X32" s="295">
        <f>+M32/F32</f>
        <v>0.25233644859813081</v>
      </c>
      <c r="Y32" s="295">
        <f t="shared" si="4"/>
        <v>0.79439252336448596</v>
      </c>
      <c r="Z32" s="295">
        <f>+X32*E32</f>
        <v>5.0467289719626163E-2</v>
      </c>
      <c r="AA32" s="295">
        <f>+Y32*E32</f>
        <v>0.15887850467289721</v>
      </c>
      <c r="AB32" s="296" t="s">
        <v>1775</v>
      </c>
      <c r="AC32" s="594" t="s">
        <v>1799</v>
      </c>
      <c r="AD32" s="272"/>
      <c r="AE32" s="605" t="s">
        <v>1867</v>
      </c>
      <c r="AF32" s="602" t="s">
        <v>1897</v>
      </c>
    </row>
    <row r="33" spans="1:32" ht="164.4" customHeight="1" thickBot="1" x14ac:dyDescent="0.45">
      <c r="A33" s="276"/>
      <c r="B33" s="897" t="s">
        <v>402</v>
      </c>
      <c r="C33" s="898" t="s">
        <v>403</v>
      </c>
      <c r="D33" s="629" t="s">
        <v>357</v>
      </c>
      <c r="E33" s="315">
        <v>0.2</v>
      </c>
      <c r="F33" s="287">
        <v>107</v>
      </c>
      <c r="G33" s="307">
        <v>25</v>
      </c>
      <c r="H33" s="308">
        <v>30</v>
      </c>
      <c r="I33" s="297">
        <f>+G33/F33</f>
        <v>0.23364485981308411</v>
      </c>
      <c r="J33" s="297">
        <f t="shared" si="5"/>
        <v>0.28037383177570091</v>
      </c>
      <c r="K33" s="298">
        <f>+(G33/F33)*E33</f>
        <v>4.6728971962616828E-2</v>
      </c>
      <c r="L33" s="298">
        <f t="shared" si="10"/>
        <v>5.6074766355140186E-2</v>
      </c>
      <c r="M33" s="314">
        <v>23</v>
      </c>
      <c r="N33" s="595">
        <v>0</v>
      </c>
      <c r="O33" s="293">
        <v>30</v>
      </c>
      <c r="P33" s="293">
        <v>7</v>
      </c>
      <c r="Q33" s="314"/>
      <c r="R33" s="314">
        <f t="shared" si="21"/>
        <v>37</v>
      </c>
      <c r="S33" s="314">
        <f t="shared" si="22"/>
        <v>60</v>
      </c>
      <c r="T33" s="294">
        <f>+M33/G33</f>
        <v>0.92</v>
      </c>
      <c r="U33" s="295">
        <v>1</v>
      </c>
      <c r="V33" s="295">
        <f>+T33*E33</f>
        <v>0.18400000000000002</v>
      </c>
      <c r="W33" s="295">
        <f t="shared" si="6"/>
        <v>0.2</v>
      </c>
      <c r="X33" s="295">
        <f>+M33/F33</f>
        <v>0.21495327102803738</v>
      </c>
      <c r="Y33" s="295">
        <f t="shared" si="4"/>
        <v>0.56074766355140182</v>
      </c>
      <c r="Z33" s="295">
        <f>+X33*E33</f>
        <v>4.2990654205607479E-2</v>
      </c>
      <c r="AA33" s="295">
        <f>+Y33*E33</f>
        <v>0.11214953271028037</v>
      </c>
      <c r="AB33" s="296" t="s">
        <v>1775</v>
      </c>
      <c r="AC33" s="594" t="s">
        <v>1799</v>
      </c>
      <c r="AD33" s="594" t="s">
        <v>1860</v>
      </c>
      <c r="AE33" s="605" t="s">
        <v>1867</v>
      </c>
      <c r="AF33" s="602" t="s">
        <v>1897</v>
      </c>
    </row>
    <row r="34" spans="1:32" ht="122.4" customHeight="1" thickBot="1" x14ac:dyDescent="0.45">
      <c r="A34" s="276"/>
      <c r="B34" s="955" t="s">
        <v>1574</v>
      </c>
      <c r="C34" s="956"/>
      <c r="D34" s="487"/>
      <c r="E34" s="282">
        <v>0.02</v>
      </c>
      <c r="F34" s="302"/>
      <c r="G34" s="303"/>
      <c r="H34" s="283"/>
      <c r="I34" s="304">
        <f>+AVERAGE(I35:I38)</f>
        <v>0.44396853146853149</v>
      </c>
      <c r="J34" s="304">
        <f>+AVERAGE(J35:J38)</f>
        <v>0.2717074592074592</v>
      </c>
      <c r="K34" s="305">
        <f>+K35+K36+K37+K38</f>
        <v>0.55517482517482519</v>
      </c>
      <c r="L34" s="305">
        <f>+L35+L36+L37+L38</f>
        <v>0.28403263403263401</v>
      </c>
      <c r="M34" s="292"/>
      <c r="N34" s="306"/>
      <c r="O34" s="306"/>
      <c r="P34" s="306"/>
      <c r="Q34" s="306"/>
      <c r="R34" s="306"/>
      <c r="S34" s="306"/>
      <c r="T34" s="525">
        <f>+AVERAGE(T35:T38)</f>
        <v>0.28083333333333332</v>
      </c>
      <c r="U34" s="525">
        <f>+AVERAGE(U35:U38)</f>
        <v>0.96666666666666667</v>
      </c>
      <c r="V34" s="329">
        <f>+(V35+V36+V37+V38)*E34</f>
        <v>5.8266666666666666E-3</v>
      </c>
      <c r="W34" s="329">
        <f>+(W35+W36+W37+W38)*E34</f>
        <v>1.9466666666666667E-2</v>
      </c>
      <c r="X34" s="284">
        <f>+AVERAGE(X35:X38)</f>
        <v>0.14352564102564103</v>
      </c>
      <c r="Y34" s="284">
        <f>+AVERAGE(Y35:Y38)</f>
        <v>0.61694347319347331</v>
      </c>
      <c r="Z34" s="284">
        <f>+(Z35+Z36+Z37+Z38)*E34</f>
        <v>3.6297435897435898E-3</v>
      </c>
      <c r="AA34" s="284">
        <f>+(AA35+AA36+AA37+AA38)</f>
        <v>0.69355477855477854</v>
      </c>
      <c r="AB34" s="285"/>
      <c r="AC34" s="271"/>
      <c r="AD34" s="272"/>
      <c r="AE34" s="272"/>
      <c r="AF34" s="272"/>
    </row>
    <row r="35" spans="1:32" ht="248.4" customHeight="1" thickBot="1" x14ac:dyDescent="0.45">
      <c r="A35" s="276"/>
      <c r="B35" s="897" t="s">
        <v>404</v>
      </c>
      <c r="C35" s="898" t="s">
        <v>405</v>
      </c>
      <c r="D35" s="487" t="s">
        <v>357</v>
      </c>
      <c r="E35" s="286">
        <v>0.2</v>
      </c>
      <c r="F35" s="287">
        <v>13</v>
      </c>
      <c r="G35" s="307">
        <v>4</v>
      </c>
      <c r="H35" s="308">
        <v>3</v>
      </c>
      <c r="I35" s="297">
        <f>+G35/F35</f>
        <v>0.30769230769230771</v>
      </c>
      <c r="J35" s="297">
        <f t="shared" si="5"/>
        <v>0.23076923076923078</v>
      </c>
      <c r="K35" s="298">
        <f>+(G35/F35)*E35</f>
        <v>6.1538461538461542E-2</v>
      </c>
      <c r="L35" s="298">
        <f t="shared" si="10"/>
        <v>4.6153846153846156E-2</v>
      </c>
      <c r="M35" s="292">
        <v>3</v>
      </c>
      <c r="N35" s="595">
        <v>0</v>
      </c>
      <c r="O35" s="293">
        <v>3</v>
      </c>
      <c r="P35" s="293">
        <v>6</v>
      </c>
      <c r="Q35" s="292"/>
      <c r="R35" s="292">
        <f t="shared" ref="R35:R38" si="23">+N35+O35+P35+Q35</f>
        <v>9</v>
      </c>
      <c r="S35" s="292">
        <f t="shared" ref="S35:S38" si="24">+R35+M35</f>
        <v>12</v>
      </c>
      <c r="T35" s="294">
        <f>+M35/G35</f>
        <v>0.75</v>
      </c>
      <c r="U35" s="295">
        <v>1</v>
      </c>
      <c r="V35" s="295">
        <f>+T35*E35</f>
        <v>0.15000000000000002</v>
      </c>
      <c r="W35" s="295">
        <f t="shared" si="6"/>
        <v>0.2</v>
      </c>
      <c r="X35" s="295">
        <f>+M35/F35</f>
        <v>0.23076923076923078</v>
      </c>
      <c r="Y35" s="295">
        <f t="shared" si="4"/>
        <v>0.92307692307692313</v>
      </c>
      <c r="Z35" s="295">
        <f>+X35*E35</f>
        <v>4.6153846153846156E-2</v>
      </c>
      <c r="AA35" s="295">
        <f>+Y35*E35</f>
        <v>0.18461538461538463</v>
      </c>
      <c r="AB35" s="296" t="s">
        <v>1775</v>
      </c>
      <c r="AC35" s="594" t="s">
        <v>1799</v>
      </c>
      <c r="AD35" s="594" t="s">
        <v>1860</v>
      </c>
      <c r="AE35" s="605" t="s">
        <v>1867</v>
      </c>
      <c r="AF35" s="602" t="s">
        <v>1897</v>
      </c>
    </row>
    <row r="36" spans="1:32" ht="122.4" customHeight="1" thickBot="1" x14ac:dyDescent="0.45">
      <c r="A36" s="276"/>
      <c r="B36" s="897" t="s">
        <v>406</v>
      </c>
      <c r="C36" s="898" t="s">
        <v>407</v>
      </c>
      <c r="D36" s="487" t="s">
        <v>357</v>
      </c>
      <c r="E36" s="286">
        <v>0.4</v>
      </c>
      <c r="F36" s="287">
        <v>6</v>
      </c>
      <c r="G36" s="307">
        <v>6</v>
      </c>
      <c r="H36" s="308">
        <v>2</v>
      </c>
      <c r="I36" s="297">
        <f>+G36/F36</f>
        <v>1</v>
      </c>
      <c r="J36" s="297">
        <f t="shared" si="5"/>
        <v>0.33333333333333331</v>
      </c>
      <c r="K36" s="298">
        <f>+(G36/F36)*E36</f>
        <v>0.4</v>
      </c>
      <c r="L36" s="298">
        <f t="shared" si="10"/>
        <v>0.13333333333333333</v>
      </c>
      <c r="M36" s="292">
        <v>2</v>
      </c>
      <c r="N36" s="595">
        <v>0</v>
      </c>
      <c r="O36" s="293">
        <v>1</v>
      </c>
      <c r="P36" s="293">
        <v>4</v>
      </c>
      <c r="Q36" s="292"/>
      <c r="R36" s="292">
        <f t="shared" si="23"/>
        <v>5</v>
      </c>
      <c r="S36" s="292">
        <f t="shared" si="24"/>
        <v>7</v>
      </c>
      <c r="T36" s="294">
        <f>+(M36/G36)</f>
        <v>0.33333333333333331</v>
      </c>
      <c r="U36" s="295">
        <v>1</v>
      </c>
      <c r="V36" s="295">
        <f>+T36*E36</f>
        <v>0.13333333333333333</v>
      </c>
      <c r="W36" s="295">
        <f t="shared" si="6"/>
        <v>0.4</v>
      </c>
      <c r="X36" s="295">
        <f>+M36/F36</f>
        <v>0.33333333333333331</v>
      </c>
      <c r="Y36" s="295">
        <v>1</v>
      </c>
      <c r="Z36" s="295">
        <f>+X36*E36</f>
        <v>0.13333333333333333</v>
      </c>
      <c r="AA36" s="295">
        <f>+Y36*E36</f>
        <v>0.4</v>
      </c>
      <c r="AB36" s="296" t="s">
        <v>1775</v>
      </c>
      <c r="AC36" s="594" t="s">
        <v>1799</v>
      </c>
      <c r="AD36" s="594" t="s">
        <v>1860</v>
      </c>
      <c r="AE36" s="605" t="s">
        <v>1867</v>
      </c>
      <c r="AF36" s="602" t="s">
        <v>1897</v>
      </c>
    </row>
    <row r="37" spans="1:32" ht="166.2" customHeight="1" thickBot="1" x14ac:dyDescent="0.45">
      <c r="A37" s="276"/>
      <c r="B37" s="897" t="s">
        <v>408</v>
      </c>
      <c r="C37" s="898" t="s">
        <v>409</v>
      </c>
      <c r="D37" s="487" t="s">
        <v>357</v>
      </c>
      <c r="E37" s="286">
        <v>0.2</v>
      </c>
      <c r="F37" s="287">
        <v>55</v>
      </c>
      <c r="G37" s="307">
        <v>12</v>
      </c>
      <c r="H37" s="308">
        <v>15</v>
      </c>
      <c r="I37" s="297">
        <f>+G37/F37</f>
        <v>0.21818181818181817</v>
      </c>
      <c r="J37" s="297">
        <f t="shared" si="5"/>
        <v>0.27272727272727271</v>
      </c>
      <c r="K37" s="298">
        <f>+(G37/F37)*E37</f>
        <v>4.363636363636364E-2</v>
      </c>
      <c r="L37" s="298">
        <f t="shared" si="10"/>
        <v>5.4545454545454543E-2</v>
      </c>
      <c r="M37" s="292">
        <v>0</v>
      </c>
      <c r="N37" s="595">
        <v>0</v>
      </c>
      <c r="O37" s="293">
        <v>0</v>
      </c>
      <c r="P37" s="293">
        <v>13</v>
      </c>
      <c r="Q37" s="292"/>
      <c r="R37" s="292">
        <f t="shared" si="23"/>
        <v>13</v>
      </c>
      <c r="S37" s="292">
        <f t="shared" si="24"/>
        <v>13</v>
      </c>
      <c r="T37" s="294">
        <f>+(M37/G37)</f>
        <v>0</v>
      </c>
      <c r="U37" s="295">
        <f t="shared" si="3"/>
        <v>0.8666666666666667</v>
      </c>
      <c r="V37" s="295">
        <f>+T37*E37</f>
        <v>0</v>
      </c>
      <c r="W37" s="295">
        <f t="shared" si="6"/>
        <v>0.17333333333333334</v>
      </c>
      <c r="X37" s="295">
        <f>+M37/F37</f>
        <v>0</v>
      </c>
      <c r="Y37" s="295">
        <f t="shared" si="4"/>
        <v>0.23636363636363636</v>
      </c>
      <c r="Z37" s="295">
        <f>+X37*E37</f>
        <v>0</v>
      </c>
      <c r="AA37" s="295">
        <f>+Y37*E37</f>
        <v>4.7272727272727272E-2</v>
      </c>
      <c r="AB37" s="296" t="s">
        <v>1775</v>
      </c>
      <c r="AC37" s="594" t="s">
        <v>1799</v>
      </c>
      <c r="AD37" s="594" t="s">
        <v>1860</v>
      </c>
      <c r="AE37" s="605" t="s">
        <v>1867</v>
      </c>
      <c r="AF37" s="602" t="s">
        <v>1897</v>
      </c>
    </row>
    <row r="38" spans="1:32" ht="122.4" customHeight="1" thickBot="1" x14ac:dyDescent="0.45">
      <c r="A38" s="276"/>
      <c r="B38" s="897" t="s">
        <v>410</v>
      </c>
      <c r="C38" s="898" t="s">
        <v>411</v>
      </c>
      <c r="D38" s="487" t="s">
        <v>357</v>
      </c>
      <c r="E38" s="286">
        <v>0.2</v>
      </c>
      <c r="F38" s="287">
        <v>600</v>
      </c>
      <c r="G38" s="307">
        <v>150</v>
      </c>
      <c r="H38" s="308">
        <v>150</v>
      </c>
      <c r="I38" s="297">
        <f>+G38/F38</f>
        <v>0.25</v>
      </c>
      <c r="J38" s="297">
        <f t="shared" si="5"/>
        <v>0.25</v>
      </c>
      <c r="K38" s="298">
        <f>+(G38/F38)*E38</f>
        <v>0.05</v>
      </c>
      <c r="L38" s="298">
        <f t="shared" si="10"/>
        <v>0.05</v>
      </c>
      <c r="M38" s="292">
        <v>6</v>
      </c>
      <c r="N38" s="595">
        <v>0</v>
      </c>
      <c r="O38" s="293">
        <v>0</v>
      </c>
      <c r="P38" s="293">
        <v>179</v>
      </c>
      <c r="Q38" s="292"/>
      <c r="R38" s="292">
        <f t="shared" si="23"/>
        <v>179</v>
      </c>
      <c r="S38" s="292">
        <f t="shared" si="24"/>
        <v>185</v>
      </c>
      <c r="T38" s="294">
        <f>+(M38/G38)</f>
        <v>0.04</v>
      </c>
      <c r="U38" s="295">
        <v>1</v>
      </c>
      <c r="V38" s="295">
        <f>+T38*E38</f>
        <v>8.0000000000000002E-3</v>
      </c>
      <c r="W38" s="295">
        <f t="shared" si="6"/>
        <v>0.2</v>
      </c>
      <c r="X38" s="316">
        <f>+M38/F38</f>
        <v>0.01</v>
      </c>
      <c r="Y38" s="295">
        <f t="shared" si="4"/>
        <v>0.30833333333333335</v>
      </c>
      <c r="Z38" s="295">
        <f>+X38*E38</f>
        <v>2E-3</v>
      </c>
      <c r="AA38" s="295">
        <f>+Y38*E38</f>
        <v>6.1666666666666675E-2</v>
      </c>
      <c r="AB38" s="296" t="s">
        <v>1775</v>
      </c>
      <c r="AC38" s="594" t="s">
        <v>1799</v>
      </c>
      <c r="AD38" s="594" t="s">
        <v>1860</v>
      </c>
      <c r="AE38" s="605" t="s">
        <v>1867</v>
      </c>
      <c r="AF38" s="602" t="s">
        <v>1897</v>
      </c>
    </row>
    <row r="39" spans="1:32" ht="122.4" customHeight="1" thickBot="1" x14ac:dyDescent="0.5">
      <c r="A39" s="276"/>
      <c r="B39" s="953" t="s">
        <v>1575</v>
      </c>
      <c r="C39" s="954"/>
      <c r="D39" s="630"/>
      <c r="E39" s="282">
        <v>0.05</v>
      </c>
      <c r="F39" s="302"/>
      <c r="G39" s="303"/>
      <c r="H39" s="283"/>
      <c r="I39" s="304">
        <f>+AVERAGE(I40:I42)</f>
        <v>0.40860215053763443</v>
      </c>
      <c r="J39" s="304">
        <f>+AVERAGE(J40:J42)</f>
        <v>0.19892473118279572</v>
      </c>
      <c r="K39" s="305">
        <f>+K40+K41+K42</f>
        <v>0.34516129032258069</v>
      </c>
      <c r="L39" s="305">
        <f>+L40+L41+L42</f>
        <v>0.21935483870967742</v>
      </c>
      <c r="M39" s="292"/>
      <c r="N39" s="306"/>
      <c r="O39" s="306"/>
      <c r="P39" s="306"/>
      <c r="Q39" s="306"/>
      <c r="R39" s="306"/>
      <c r="S39" s="306"/>
      <c r="T39" s="525">
        <f>+AVERAGE(T40:T42)</f>
        <v>0.53833285971393385</v>
      </c>
      <c r="U39" s="525">
        <f>+AVERAGE(U40:U42)</f>
        <v>0.84513213981244684</v>
      </c>
      <c r="V39" s="329">
        <f>+(V40+V41+V42)*E39</f>
        <v>2.2708297811878372E-2</v>
      </c>
      <c r="W39" s="329">
        <f>+(W40+W41+W42)*E39</f>
        <v>3.8384910485933503E-2</v>
      </c>
      <c r="X39" s="284">
        <f>+AVERAGE(X40:X42)</f>
        <v>0.24342431409216325</v>
      </c>
      <c r="Y39" s="284">
        <f>+AVERAGE(Y40:Y42)</f>
        <v>0.7199403239556692</v>
      </c>
      <c r="Z39" s="284">
        <f>+(Z40+Z41+Z42)*E39</f>
        <v>9.3589740945466543E-3</v>
      </c>
      <c r="AA39" s="284">
        <f>+(AA40+AA41+AA42)</f>
        <v>0.57991048593350381</v>
      </c>
      <c r="AB39" s="285"/>
      <c r="AC39" s="271"/>
      <c r="AD39" s="272"/>
      <c r="AE39" s="272"/>
      <c r="AF39" s="272"/>
    </row>
    <row r="40" spans="1:32" ht="122.4" customHeight="1" thickBot="1" x14ac:dyDescent="0.45">
      <c r="A40" s="276"/>
      <c r="B40" s="896" t="s">
        <v>412</v>
      </c>
      <c r="C40" s="894" t="s">
        <v>413</v>
      </c>
      <c r="D40" s="331" t="s">
        <v>357</v>
      </c>
      <c r="E40" s="286">
        <v>0.3</v>
      </c>
      <c r="F40" s="287">
        <v>600</v>
      </c>
      <c r="G40" s="307">
        <v>150</v>
      </c>
      <c r="H40" s="308">
        <v>150</v>
      </c>
      <c r="I40" s="297">
        <f>+G40/F40</f>
        <v>0.25</v>
      </c>
      <c r="J40" s="297">
        <f t="shared" si="5"/>
        <v>0.25</v>
      </c>
      <c r="K40" s="298">
        <f>+(G40/F40)*E40</f>
        <v>7.4999999999999997E-2</v>
      </c>
      <c r="L40" s="298">
        <f t="shared" si="10"/>
        <v>7.4999999999999997E-2</v>
      </c>
      <c r="M40" s="292">
        <v>200</v>
      </c>
      <c r="N40" s="595">
        <v>0</v>
      </c>
      <c r="O40" s="293">
        <v>509</v>
      </c>
      <c r="P40" s="292">
        <v>96</v>
      </c>
      <c r="Q40" s="292"/>
      <c r="R40" s="292">
        <f t="shared" ref="R40:R42" si="25">+N40+O40+P40+Q40</f>
        <v>605</v>
      </c>
      <c r="S40" s="292">
        <f t="shared" ref="S40:S42" si="26">+R40+M40</f>
        <v>805</v>
      </c>
      <c r="T40" s="294">
        <v>1</v>
      </c>
      <c r="U40" s="295">
        <v>1</v>
      </c>
      <c r="V40" s="295">
        <f>+T40*E40</f>
        <v>0.3</v>
      </c>
      <c r="W40" s="295">
        <f t="shared" si="6"/>
        <v>0.3</v>
      </c>
      <c r="X40" s="295">
        <f>+M40/F40</f>
        <v>0.33333333333333331</v>
      </c>
      <c r="Y40" s="295">
        <v>1</v>
      </c>
      <c r="Z40" s="295">
        <f>+X40*E40</f>
        <v>9.9999999999999992E-2</v>
      </c>
      <c r="AA40" s="295">
        <f>+Y40*E40</f>
        <v>0.3</v>
      </c>
      <c r="AB40" s="296" t="s">
        <v>1775</v>
      </c>
      <c r="AC40" s="594" t="s">
        <v>1799</v>
      </c>
      <c r="AD40" s="272"/>
      <c r="AE40" s="594" t="s">
        <v>1875</v>
      </c>
      <c r="AF40" s="602" t="s">
        <v>1897</v>
      </c>
    </row>
    <row r="41" spans="1:32" ht="122.4" customHeight="1" thickBot="1" x14ac:dyDescent="0.45">
      <c r="A41" s="276"/>
      <c r="B41" s="896" t="s">
        <v>414</v>
      </c>
      <c r="C41" s="894" t="s">
        <v>415</v>
      </c>
      <c r="D41" s="331" t="s">
        <v>357</v>
      </c>
      <c r="E41" s="286">
        <v>0.5</v>
      </c>
      <c r="F41" s="287">
        <v>78200</v>
      </c>
      <c r="G41" s="307">
        <v>19550</v>
      </c>
      <c r="H41" s="308">
        <v>19550</v>
      </c>
      <c r="I41" s="297">
        <f>+G41/F41</f>
        <v>0.25</v>
      </c>
      <c r="J41" s="297">
        <f t="shared" si="5"/>
        <v>0.25</v>
      </c>
      <c r="K41" s="298">
        <f>+(G41/F41)*E41</f>
        <v>0.125</v>
      </c>
      <c r="L41" s="298">
        <f t="shared" si="10"/>
        <v>0.125</v>
      </c>
      <c r="M41" s="292">
        <v>2031</v>
      </c>
      <c r="N41" s="595">
        <v>0</v>
      </c>
      <c r="O41" s="293">
        <v>7931</v>
      </c>
      <c r="P41" s="292">
        <v>2536</v>
      </c>
      <c r="Q41" s="292"/>
      <c r="R41" s="292">
        <f t="shared" si="25"/>
        <v>10467</v>
      </c>
      <c r="S41" s="292">
        <f t="shared" si="26"/>
        <v>12498</v>
      </c>
      <c r="T41" s="294">
        <f>+(M41/G41)</f>
        <v>0.10388746803069053</v>
      </c>
      <c r="U41" s="295">
        <f t="shared" si="3"/>
        <v>0.53539641943734018</v>
      </c>
      <c r="V41" s="295">
        <f>+T41*E41</f>
        <v>5.1943734015345265E-2</v>
      </c>
      <c r="W41" s="295">
        <f t="shared" si="6"/>
        <v>0.26769820971867009</v>
      </c>
      <c r="X41" s="295">
        <f>+M41/F41</f>
        <v>2.5971867007672633E-2</v>
      </c>
      <c r="Y41" s="295">
        <f t="shared" si="4"/>
        <v>0.15982097186700767</v>
      </c>
      <c r="Z41" s="295">
        <f>+X41*E41</f>
        <v>1.2985933503836316E-2</v>
      </c>
      <c r="AA41" s="295">
        <f>+Y41*E41</f>
        <v>7.9910485933503833E-2</v>
      </c>
      <c r="AB41" s="296" t="s">
        <v>1775</v>
      </c>
      <c r="AC41" s="594" t="s">
        <v>1799</v>
      </c>
      <c r="AD41" s="272"/>
      <c r="AE41" s="605" t="s">
        <v>1867</v>
      </c>
      <c r="AF41" s="602" t="s">
        <v>1897</v>
      </c>
    </row>
    <row r="42" spans="1:32" ht="122.4" customHeight="1" thickBot="1" x14ac:dyDescent="0.45">
      <c r="A42" s="276"/>
      <c r="B42" s="896" t="s">
        <v>416</v>
      </c>
      <c r="C42" s="894" t="s">
        <v>417</v>
      </c>
      <c r="D42" s="331" t="s">
        <v>357</v>
      </c>
      <c r="E42" s="286">
        <v>0.2</v>
      </c>
      <c r="F42" s="287">
        <v>62</v>
      </c>
      <c r="G42" s="307">
        <v>45</v>
      </c>
      <c r="H42" s="308">
        <v>6</v>
      </c>
      <c r="I42" s="297">
        <f>+G42/F42</f>
        <v>0.72580645161290325</v>
      </c>
      <c r="J42" s="297">
        <f t="shared" si="5"/>
        <v>9.6774193548387094E-2</v>
      </c>
      <c r="K42" s="298">
        <f>+(G42/F42)*E42</f>
        <v>0.14516129032258066</v>
      </c>
      <c r="L42" s="298">
        <f t="shared" si="10"/>
        <v>1.935483870967742E-2</v>
      </c>
      <c r="M42" s="292">
        <v>23</v>
      </c>
      <c r="N42" s="595">
        <v>59</v>
      </c>
      <c r="O42" s="293">
        <v>5</v>
      </c>
      <c r="P42" s="292">
        <v>27</v>
      </c>
      <c r="Q42" s="292"/>
      <c r="R42" s="292">
        <f t="shared" si="25"/>
        <v>91</v>
      </c>
      <c r="S42" s="292">
        <f t="shared" si="26"/>
        <v>114</v>
      </c>
      <c r="T42" s="294">
        <f>+(M42/G42)</f>
        <v>0.51111111111111107</v>
      </c>
      <c r="U42" s="295">
        <v>1</v>
      </c>
      <c r="V42" s="295">
        <f>+T42*E42</f>
        <v>0.10222222222222221</v>
      </c>
      <c r="W42" s="295">
        <f t="shared" si="6"/>
        <v>0.2</v>
      </c>
      <c r="X42" s="295">
        <f>+M42/F42</f>
        <v>0.37096774193548387</v>
      </c>
      <c r="Y42" s="295">
        <v>1</v>
      </c>
      <c r="Z42" s="295">
        <f>+X42*E42</f>
        <v>7.4193548387096783E-2</v>
      </c>
      <c r="AA42" s="295">
        <f>+Y42*E42</f>
        <v>0.2</v>
      </c>
      <c r="AB42" s="296" t="s">
        <v>1775</v>
      </c>
      <c r="AC42" s="594" t="s">
        <v>1801</v>
      </c>
      <c r="AD42" s="594" t="s">
        <v>1520</v>
      </c>
      <c r="AE42" s="594" t="s">
        <v>1875</v>
      </c>
      <c r="AF42" s="602" t="s">
        <v>1897</v>
      </c>
    </row>
    <row r="43" spans="1:32" ht="122.4" customHeight="1" thickBot="1" x14ac:dyDescent="0.45">
      <c r="A43" s="276"/>
      <c r="B43" s="955" t="s">
        <v>1576</v>
      </c>
      <c r="C43" s="957"/>
      <c r="D43" s="331"/>
      <c r="E43" s="317">
        <v>0.02</v>
      </c>
      <c r="F43" s="287"/>
      <c r="G43" s="303"/>
      <c r="H43" s="283"/>
      <c r="I43" s="304">
        <f>+AVERAGE(I44:I48)</f>
        <v>0.40173750334135255</v>
      </c>
      <c r="J43" s="304">
        <f>+AVERAGE(J44:J48)</f>
        <v>0.22403635391606525</v>
      </c>
      <c r="K43" s="305">
        <f>+K44+K45+K46+K47+K48</f>
        <v>0.32804397219994652</v>
      </c>
      <c r="L43" s="305">
        <f>+L44+L45+L46+L47+L48</f>
        <v>0.24091753541833738</v>
      </c>
      <c r="M43" s="292"/>
      <c r="N43" s="306"/>
      <c r="O43" s="306"/>
      <c r="P43" s="306"/>
      <c r="Q43" s="306"/>
      <c r="R43" s="306"/>
      <c r="S43" s="306"/>
      <c r="T43" s="525">
        <f>+AVERAGE(T44:T48)</f>
        <v>0.45333333333333331</v>
      </c>
      <c r="U43" s="525">
        <f>+AVERAGE(U44:U48)</f>
        <v>0.40909090909090906</v>
      </c>
      <c r="V43" s="329">
        <f>+(V44+V45+V46+V47+V48)*E43</f>
        <v>7.5333333333333329E-3</v>
      </c>
      <c r="W43" s="329">
        <f>+(W44+W45+W46+W47+W48)*E43</f>
        <v>8.3636363636363648E-3</v>
      </c>
      <c r="X43" s="284">
        <f>+AVERAGE(X44:X48)</f>
        <v>0.17229885057471264</v>
      </c>
      <c r="Y43" s="284">
        <f>+AVERAGE(Y44:Y48)</f>
        <v>0.43899224806201548</v>
      </c>
      <c r="Z43" s="284">
        <f>+(Z44+Z45+Z46+Z47+Z48)*E43</f>
        <v>2.7574712643678163E-3</v>
      </c>
      <c r="AA43" s="284">
        <f>+(AA44+AA45+AA46+AA47+AA48)</f>
        <v>0.37298449612403101</v>
      </c>
      <c r="AB43" s="285"/>
      <c r="AC43" s="588"/>
      <c r="AD43" s="258"/>
      <c r="AE43" s="258"/>
      <c r="AF43" s="258"/>
    </row>
    <row r="44" spans="1:32" ht="122.4" customHeight="1" thickBot="1" x14ac:dyDescent="0.45">
      <c r="A44" s="276"/>
      <c r="B44" s="897" t="s">
        <v>418</v>
      </c>
      <c r="C44" s="893" t="s">
        <v>419</v>
      </c>
      <c r="D44" s="331" t="s">
        <v>357</v>
      </c>
      <c r="E44" s="286">
        <v>0.25</v>
      </c>
      <c r="F44" s="287">
        <v>87</v>
      </c>
      <c r="G44" s="307">
        <v>22</v>
      </c>
      <c r="H44" s="308">
        <v>23</v>
      </c>
      <c r="I44" s="297">
        <f>+G44/F44</f>
        <v>0.25287356321839083</v>
      </c>
      <c r="J44" s="297">
        <f t="shared" si="5"/>
        <v>0.26436781609195403</v>
      </c>
      <c r="K44" s="298">
        <f>+(G44/F44)*E44</f>
        <v>6.3218390804597707E-2</v>
      </c>
      <c r="L44" s="298">
        <f t="shared" si="10"/>
        <v>6.6091954022988508E-2</v>
      </c>
      <c r="M44" s="292">
        <v>30</v>
      </c>
      <c r="N44" s="591">
        <v>16</v>
      </c>
      <c r="O44" s="595">
        <v>12</v>
      </c>
      <c r="P44" s="293">
        <v>0</v>
      </c>
      <c r="Q44" s="292"/>
      <c r="R44" s="292">
        <f t="shared" ref="R44:R51" si="27">+N44+O44+P44+Q44</f>
        <v>28</v>
      </c>
      <c r="S44" s="292">
        <f t="shared" ref="S44:S48" si="28">+R44+M44</f>
        <v>58</v>
      </c>
      <c r="T44" s="294">
        <v>1</v>
      </c>
      <c r="U44" s="295">
        <v>1</v>
      </c>
      <c r="V44" s="295">
        <f>+T44*E44</f>
        <v>0.25</v>
      </c>
      <c r="W44" s="295">
        <f t="shared" si="6"/>
        <v>0.25</v>
      </c>
      <c r="X44" s="295">
        <f>+M44/F44</f>
        <v>0.34482758620689657</v>
      </c>
      <c r="Y44" s="295">
        <f t="shared" si="4"/>
        <v>0.66666666666666663</v>
      </c>
      <c r="Z44" s="295">
        <f>+X44*E44</f>
        <v>8.6206896551724144E-2</v>
      </c>
      <c r="AA44" s="295">
        <f>+Y44*E44</f>
        <v>0.16666666666666666</v>
      </c>
      <c r="AB44" s="592" t="s">
        <v>1775</v>
      </c>
      <c r="AC44" s="846" t="s">
        <v>1799</v>
      </c>
      <c r="AD44" s="849" t="s">
        <v>1860</v>
      </c>
      <c r="AE44" s="851" t="s">
        <v>1875</v>
      </c>
      <c r="AF44" s="602" t="s">
        <v>1897</v>
      </c>
    </row>
    <row r="45" spans="1:32" ht="122.4" customHeight="1" thickBot="1" x14ac:dyDescent="0.45">
      <c r="A45" s="276"/>
      <c r="B45" s="897" t="s">
        <v>420</v>
      </c>
      <c r="C45" s="893" t="s">
        <v>421</v>
      </c>
      <c r="D45" s="331" t="s">
        <v>357</v>
      </c>
      <c r="E45" s="286">
        <v>0.4</v>
      </c>
      <c r="F45" s="287">
        <v>86</v>
      </c>
      <c r="G45" s="307">
        <v>22</v>
      </c>
      <c r="H45" s="308">
        <v>22</v>
      </c>
      <c r="I45" s="297">
        <f>+G45/F45</f>
        <v>0.2558139534883721</v>
      </c>
      <c r="J45" s="297">
        <f t="shared" si="5"/>
        <v>0.2558139534883721</v>
      </c>
      <c r="K45" s="298">
        <f>+(G45/F45)*E45</f>
        <v>0.10232558139534885</v>
      </c>
      <c r="L45" s="298">
        <f t="shared" si="10"/>
        <v>0.10232558139534885</v>
      </c>
      <c r="M45" s="292">
        <v>0</v>
      </c>
      <c r="N45" s="595">
        <v>0</v>
      </c>
      <c r="O45" s="595">
        <v>0</v>
      </c>
      <c r="P45" s="293">
        <v>1</v>
      </c>
      <c r="Q45" s="292"/>
      <c r="R45" s="292">
        <f t="shared" si="27"/>
        <v>1</v>
      </c>
      <c r="S45" s="292">
        <f t="shared" si="28"/>
        <v>1</v>
      </c>
      <c r="T45" s="294">
        <f>+(M45/G45)</f>
        <v>0</v>
      </c>
      <c r="U45" s="295">
        <f t="shared" si="3"/>
        <v>4.5454545454545456E-2</v>
      </c>
      <c r="V45" s="295">
        <f>+T45*E45</f>
        <v>0</v>
      </c>
      <c r="W45" s="295">
        <f t="shared" si="6"/>
        <v>1.8181818181818184E-2</v>
      </c>
      <c r="X45" s="295">
        <f>+M45/F45</f>
        <v>0</v>
      </c>
      <c r="Y45" s="295">
        <f t="shared" si="4"/>
        <v>1.1627906976744186E-2</v>
      </c>
      <c r="Z45" s="295">
        <f>+X45*E45</f>
        <v>0</v>
      </c>
      <c r="AA45" s="295">
        <f>+Y45*E45</f>
        <v>4.6511627906976744E-3</v>
      </c>
      <c r="AB45" s="592" t="s">
        <v>1775</v>
      </c>
      <c r="AC45" s="847" t="s">
        <v>1799</v>
      </c>
      <c r="AD45" s="806" t="s">
        <v>1860</v>
      </c>
      <c r="AE45" s="605" t="s">
        <v>1867</v>
      </c>
      <c r="AF45" s="602" t="s">
        <v>1897</v>
      </c>
    </row>
    <row r="46" spans="1:32" ht="122.4" customHeight="1" thickBot="1" x14ac:dyDescent="0.45">
      <c r="A46" s="276"/>
      <c r="B46" s="897" t="s">
        <v>422</v>
      </c>
      <c r="C46" s="893" t="s">
        <v>423</v>
      </c>
      <c r="D46" s="331" t="s">
        <v>357</v>
      </c>
      <c r="E46" s="286">
        <v>0.15</v>
      </c>
      <c r="F46" s="287">
        <v>1</v>
      </c>
      <c r="G46" s="307">
        <v>0.25</v>
      </c>
      <c r="H46" s="308">
        <v>0.25</v>
      </c>
      <c r="I46" s="297">
        <f>+G46/F46</f>
        <v>0.25</v>
      </c>
      <c r="J46" s="297">
        <f t="shared" si="5"/>
        <v>0.25</v>
      </c>
      <c r="K46" s="298">
        <f>+(G46/F46)*E46</f>
        <v>3.7499999999999999E-2</v>
      </c>
      <c r="L46" s="298">
        <f t="shared" si="10"/>
        <v>3.7499999999999999E-2</v>
      </c>
      <c r="M46" s="292">
        <v>0</v>
      </c>
      <c r="N46" s="300">
        <v>0.25</v>
      </c>
      <c r="O46" s="293">
        <v>0.75</v>
      </c>
      <c r="P46" s="293">
        <v>0</v>
      </c>
      <c r="Q46" s="292"/>
      <c r="R46" s="292">
        <f t="shared" si="27"/>
        <v>1</v>
      </c>
      <c r="S46" s="292">
        <f t="shared" si="28"/>
        <v>1</v>
      </c>
      <c r="T46" s="294">
        <f>+(M46/G46)</f>
        <v>0</v>
      </c>
      <c r="U46" s="295">
        <v>1</v>
      </c>
      <c r="V46" s="295">
        <f>+T46*E46</f>
        <v>0</v>
      </c>
      <c r="W46" s="295">
        <f t="shared" si="6"/>
        <v>0.15</v>
      </c>
      <c r="X46" s="295">
        <f>+M46/F46</f>
        <v>0</v>
      </c>
      <c r="Y46" s="295">
        <f t="shared" si="4"/>
        <v>1</v>
      </c>
      <c r="Z46" s="295">
        <f>+X46*E46</f>
        <v>0</v>
      </c>
      <c r="AA46" s="295">
        <f>+Y46*E46</f>
        <v>0.15</v>
      </c>
      <c r="AB46" s="592" t="s">
        <v>1775</v>
      </c>
      <c r="AC46" s="847" t="s">
        <v>1799</v>
      </c>
      <c r="AD46" s="806" t="s">
        <v>1860</v>
      </c>
      <c r="AE46" s="852" t="s">
        <v>1875</v>
      </c>
      <c r="AF46" s="602" t="s">
        <v>1897</v>
      </c>
    </row>
    <row r="47" spans="1:32" ht="122.4" customHeight="1" thickBot="1" x14ac:dyDescent="0.45">
      <c r="A47" s="276"/>
      <c r="B47" s="897" t="s">
        <v>424</v>
      </c>
      <c r="C47" s="893" t="s">
        <v>425</v>
      </c>
      <c r="D47" s="331" t="s">
        <v>357</v>
      </c>
      <c r="E47" s="286">
        <v>0.1</v>
      </c>
      <c r="F47" s="287">
        <v>4</v>
      </c>
      <c r="G47" s="307">
        <v>1</v>
      </c>
      <c r="H47" s="308">
        <v>1</v>
      </c>
      <c r="I47" s="297">
        <f>+G47/F47</f>
        <v>0.25</v>
      </c>
      <c r="J47" s="297">
        <f t="shared" si="5"/>
        <v>0.25</v>
      </c>
      <c r="K47" s="298">
        <f>+(G47/F47)*E47</f>
        <v>2.5000000000000001E-2</v>
      </c>
      <c r="L47" s="298">
        <f t="shared" si="10"/>
        <v>2.5000000000000001E-2</v>
      </c>
      <c r="M47" s="292">
        <v>1</v>
      </c>
      <c r="N47" s="595">
        <v>0</v>
      </c>
      <c r="O47" s="595">
        <v>0</v>
      </c>
      <c r="P47" s="293">
        <v>0</v>
      </c>
      <c r="Q47" s="292"/>
      <c r="R47" s="292">
        <f t="shared" si="27"/>
        <v>0</v>
      </c>
      <c r="S47" s="292">
        <f t="shared" si="28"/>
        <v>1</v>
      </c>
      <c r="T47" s="294">
        <f>+(M47/G47)</f>
        <v>1</v>
      </c>
      <c r="U47" s="295">
        <f t="shared" si="3"/>
        <v>0</v>
      </c>
      <c r="V47" s="295">
        <f>+T47*E47</f>
        <v>0.1</v>
      </c>
      <c r="W47" s="295">
        <f t="shared" si="6"/>
        <v>0</v>
      </c>
      <c r="X47" s="295">
        <f>+M47/F47</f>
        <v>0.25</v>
      </c>
      <c r="Y47" s="295">
        <f t="shared" si="4"/>
        <v>0.25</v>
      </c>
      <c r="Z47" s="295">
        <f>+X47*E47</f>
        <v>2.5000000000000001E-2</v>
      </c>
      <c r="AA47" s="295">
        <f>+Y47*E47</f>
        <v>2.5000000000000001E-2</v>
      </c>
      <c r="AB47" s="592" t="s">
        <v>1775</v>
      </c>
      <c r="AC47" s="847" t="s">
        <v>1799</v>
      </c>
      <c r="AD47" s="806" t="s">
        <v>1860</v>
      </c>
      <c r="AE47" s="605" t="s">
        <v>1867</v>
      </c>
      <c r="AF47" s="602" t="s">
        <v>1897</v>
      </c>
    </row>
    <row r="48" spans="1:32" ht="122.4" customHeight="1" thickBot="1" x14ac:dyDescent="0.45">
      <c r="A48" s="276"/>
      <c r="B48" s="897" t="s">
        <v>426</v>
      </c>
      <c r="C48" s="893" t="s">
        <v>427</v>
      </c>
      <c r="D48" s="331" t="s">
        <v>357</v>
      </c>
      <c r="E48" s="286">
        <v>0.1</v>
      </c>
      <c r="F48" s="287">
        <v>30</v>
      </c>
      <c r="G48" s="307">
        <v>30</v>
      </c>
      <c r="H48" s="308">
        <v>3</v>
      </c>
      <c r="I48" s="297">
        <f>+G48/F48</f>
        <v>1</v>
      </c>
      <c r="J48" s="297">
        <f t="shared" si="5"/>
        <v>0.1</v>
      </c>
      <c r="K48" s="298">
        <f>+(G48/F48)*E48</f>
        <v>0.1</v>
      </c>
      <c r="L48" s="298">
        <f t="shared" si="10"/>
        <v>1.0000000000000002E-2</v>
      </c>
      <c r="M48" s="292">
        <v>8</v>
      </c>
      <c r="N48" s="595">
        <v>0</v>
      </c>
      <c r="O48" s="595">
        <v>0</v>
      </c>
      <c r="P48" s="293">
        <v>0</v>
      </c>
      <c r="Q48" s="292"/>
      <c r="R48" s="292">
        <f t="shared" si="27"/>
        <v>0</v>
      </c>
      <c r="S48" s="292">
        <f t="shared" si="28"/>
        <v>8</v>
      </c>
      <c r="T48" s="294">
        <f>+(M48/G48)</f>
        <v>0.26666666666666666</v>
      </c>
      <c r="U48" s="295">
        <f t="shared" si="3"/>
        <v>0</v>
      </c>
      <c r="V48" s="295">
        <f>+T48*E48</f>
        <v>2.6666666666666668E-2</v>
      </c>
      <c r="W48" s="295">
        <f t="shared" si="6"/>
        <v>0</v>
      </c>
      <c r="X48" s="295">
        <f>+M48/F48</f>
        <v>0.26666666666666666</v>
      </c>
      <c r="Y48" s="295">
        <f t="shared" si="4"/>
        <v>0.26666666666666666</v>
      </c>
      <c r="Z48" s="295">
        <f>+X48*E48</f>
        <v>2.6666666666666668E-2</v>
      </c>
      <c r="AA48" s="295">
        <f>+Y48*E48</f>
        <v>2.6666666666666668E-2</v>
      </c>
      <c r="AB48" s="592" t="s">
        <v>1775</v>
      </c>
      <c r="AC48" s="848" t="s">
        <v>1804</v>
      </c>
      <c r="AD48" s="850" t="s">
        <v>1860</v>
      </c>
      <c r="AE48" s="602" t="s">
        <v>1867</v>
      </c>
      <c r="AF48" s="602" t="s">
        <v>1897</v>
      </c>
    </row>
    <row r="49" spans="1:32" ht="122.4" customHeight="1" thickBot="1" x14ac:dyDescent="0.45">
      <c r="A49" s="276"/>
      <c r="B49" s="955" t="s">
        <v>1577</v>
      </c>
      <c r="C49" s="957"/>
      <c r="D49" s="331"/>
      <c r="E49" s="282">
        <v>0.02</v>
      </c>
      <c r="F49" s="302"/>
      <c r="G49" s="303"/>
      <c r="H49" s="283"/>
      <c r="I49" s="304"/>
      <c r="J49" s="304">
        <f>+AVERAGE(J50:J51)</f>
        <v>6.6666666666666666E-2</v>
      </c>
      <c r="K49" s="305"/>
      <c r="L49" s="305">
        <f>+L50+L51</f>
        <v>6.6666666666666666E-2</v>
      </c>
      <c r="M49" s="292"/>
      <c r="N49" s="596"/>
      <c r="O49" s="306"/>
      <c r="P49" s="306"/>
      <c r="Q49" s="306"/>
      <c r="R49" s="306"/>
      <c r="S49" s="306"/>
      <c r="T49" s="525"/>
      <c r="U49" s="329">
        <f>+AVERAGE(U50:U51)</f>
        <v>1</v>
      </c>
      <c r="V49" s="329"/>
      <c r="W49" s="329">
        <f>+(W50+W51)*E49</f>
        <v>0.02</v>
      </c>
      <c r="X49" s="284"/>
      <c r="Y49" s="284">
        <f>+AVERAGE(Y50:Y51)</f>
        <v>0.33333333333333331</v>
      </c>
      <c r="Z49" s="284">
        <f>+(Z50+Z51)*E49</f>
        <v>0</v>
      </c>
      <c r="AA49" s="284">
        <f>+(AA50+AA51)</f>
        <v>0.33333333333333331</v>
      </c>
      <c r="AB49" s="285"/>
      <c r="AC49" s="274"/>
      <c r="AD49" s="275"/>
      <c r="AE49" s="275"/>
      <c r="AF49" s="275"/>
    </row>
    <row r="50" spans="1:32" ht="122.4" customHeight="1" thickBot="1" x14ac:dyDescent="0.45">
      <c r="A50" s="276"/>
      <c r="B50" s="896" t="s">
        <v>428</v>
      </c>
      <c r="C50" s="894" t="s">
        <v>429</v>
      </c>
      <c r="D50" s="331" t="s">
        <v>357</v>
      </c>
      <c r="E50" s="286">
        <v>0.5</v>
      </c>
      <c r="F50" s="287">
        <v>15</v>
      </c>
      <c r="G50" s="307"/>
      <c r="H50" s="308">
        <v>1</v>
      </c>
      <c r="I50" s="297"/>
      <c r="J50" s="297">
        <f>+H50/F50</f>
        <v>6.6666666666666666E-2</v>
      </c>
      <c r="K50" s="298"/>
      <c r="L50" s="298">
        <f>+(H50/F50)*E50</f>
        <v>3.3333333333333333E-2</v>
      </c>
      <c r="M50" s="292"/>
      <c r="N50" s="595">
        <v>0</v>
      </c>
      <c r="O50" s="293">
        <v>0</v>
      </c>
      <c r="P50" s="293">
        <v>5</v>
      </c>
      <c r="Q50" s="292"/>
      <c r="R50" s="292">
        <f t="shared" si="27"/>
        <v>5</v>
      </c>
      <c r="S50" s="292">
        <f>+R50+M50</f>
        <v>5</v>
      </c>
      <c r="T50" s="294"/>
      <c r="U50" s="295">
        <v>1</v>
      </c>
      <c r="V50" s="295"/>
      <c r="W50" s="295">
        <f>+U50*E50</f>
        <v>0.5</v>
      </c>
      <c r="X50" s="295"/>
      <c r="Y50" s="295">
        <f>+S50/F50</f>
        <v>0.33333333333333331</v>
      </c>
      <c r="Z50" s="295">
        <f>+X50*E50</f>
        <v>0</v>
      </c>
      <c r="AA50" s="295">
        <f>+Y50*E50</f>
        <v>0.16666666666666666</v>
      </c>
      <c r="AB50" s="296" t="s">
        <v>1775</v>
      </c>
      <c r="AC50" s="594" t="s">
        <v>1799</v>
      </c>
      <c r="AD50" s="594" t="s">
        <v>1860</v>
      </c>
      <c r="AE50" s="605" t="s">
        <v>1867</v>
      </c>
      <c r="AF50" s="602" t="s">
        <v>1897</v>
      </c>
    </row>
    <row r="51" spans="1:32" ht="122.4" customHeight="1" thickBot="1" x14ac:dyDescent="0.45">
      <c r="A51" s="276"/>
      <c r="B51" s="896" t="s">
        <v>430</v>
      </c>
      <c r="C51" s="894" t="s">
        <v>431</v>
      </c>
      <c r="D51" s="331" t="s">
        <v>357</v>
      </c>
      <c r="E51" s="286">
        <v>0.5</v>
      </c>
      <c r="F51" s="287">
        <v>15</v>
      </c>
      <c r="G51" s="307"/>
      <c r="H51" s="308">
        <v>1</v>
      </c>
      <c r="I51" s="297"/>
      <c r="J51" s="297">
        <f t="shared" ref="J51:J90" si="29">+H51/F51</f>
        <v>6.6666666666666666E-2</v>
      </c>
      <c r="K51" s="298"/>
      <c r="L51" s="298">
        <f t="shared" ref="L51:L90" si="30">+(H51/F51)*E51</f>
        <v>3.3333333333333333E-2</v>
      </c>
      <c r="M51" s="292"/>
      <c r="N51" s="595">
        <v>0</v>
      </c>
      <c r="O51" s="293">
        <v>0</v>
      </c>
      <c r="P51" s="293">
        <v>5</v>
      </c>
      <c r="Q51" s="292"/>
      <c r="R51" s="292">
        <f t="shared" si="27"/>
        <v>5</v>
      </c>
      <c r="S51" s="292">
        <f>+R51+M51</f>
        <v>5</v>
      </c>
      <c r="T51" s="294"/>
      <c r="U51" s="295">
        <v>1</v>
      </c>
      <c r="V51" s="295"/>
      <c r="W51" s="295">
        <f t="shared" ref="W51:W90" si="31">+U51*E51</f>
        <v>0.5</v>
      </c>
      <c r="X51" s="295"/>
      <c r="Y51" s="295">
        <f t="shared" ref="Y51:Y90" si="32">+S51/F51</f>
        <v>0.33333333333333331</v>
      </c>
      <c r="Z51" s="295">
        <f t="shared" ref="Z51" si="33">+X51*E51</f>
        <v>0</v>
      </c>
      <c r="AA51" s="295">
        <f>+Y51*E51</f>
        <v>0.16666666666666666</v>
      </c>
      <c r="AB51" s="296" t="s">
        <v>1775</v>
      </c>
      <c r="AC51" s="594" t="s">
        <v>1799</v>
      </c>
      <c r="AD51" s="594" t="s">
        <v>1860</v>
      </c>
      <c r="AE51" s="605" t="s">
        <v>1867</v>
      </c>
      <c r="AF51" s="602" t="s">
        <v>1897</v>
      </c>
    </row>
    <row r="52" spans="1:32" ht="122.4" customHeight="1" thickBot="1" x14ac:dyDescent="0.45">
      <c r="A52" s="276"/>
      <c r="B52" s="955" t="s">
        <v>1578</v>
      </c>
      <c r="C52" s="957"/>
      <c r="D52" s="331"/>
      <c r="E52" s="282">
        <v>0.02</v>
      </c>
      <c r="F52" s="302"/>
      <c r="G52" s="303"/>
      <c r="H52" s="283"/>
      <c r="I52" s="304">
        <f>+AVERAGE(I53:I55)</f>
        <v>0.20288161993769471</v>
      </c>
      <c r="J52" s="304">
        <f>+AVERAGE(J53:J55)</f>
        <v>0.21845794392523366</v>
      </c>
      <c r="K52" s="305">
        <f>+K53+K54+K55</f>
        <v>0.18177570093457943</v>
      </c>
      <c r="L52" s="305">
        <f>+L53+L54+L55</f>
        <v>0.19813084112149532</v>
      </c>
      <c r="M52" s="292"/>
      <c r="N52" s="596"/>
      <c r="O52" s="306"/>
      <c r="P52" s="306"/>
      <c r="Q52" s="306"/>
      <c r="R52" s="306"/>
      <c r="S52" s="306"/>
      <c r="T52" s="525">
        <f>+AVERAGE(T53:T55)</f>
        <v>1</v>
      </c>
      <c r="U52" s="525">
        <f>+AVERAGE(U53:U55)</f>
        <v>0.61111111111111116</v>
      </c>
      <c r="V52" s="329">
        <f>+(V53+V54+V55)*E52</f>
        <v>0.02</v>
      </c>
      <c r="W52" s="329">
        <f>+(W53+W54+W55)*E52</f>
        <v>1.5833333333333335E-2</v>
      </c>
      <c r="X52" s="284">
        <f>+AVERAGE(X53:X55)</f>
        <v>0.38465732087227411</v>
      </c>
      <c r="Y52" s="284">
        <f>+AVERAGE(Y53:Y55)</f>
        <v>0.62870560747663551</v>
      </c>
      <c r="Z52" s="284">
        <f>+(Z53+Z54+Z55)*E52</f>
        <v>7.6028037383177559E-3</v>
      </c>
      <c r="AA52" s="284">
        <f>+(AA53+AA54+AA55)</f>
        <v>0.7111658878504673</v>
      </c>
      <c r="AB52" s="285"/>
      <c r="AC52" s="271"/>
      <c r="AD52" s="272"/>
      <c r="AE52" s="272"/>
      <c r="AF52" s="272"/>
    </row>
    <row r="53" spans="1:32" ht="122.4" customHeight="1" thickBot="1" x14ac:dyDescent="0.45">
      <c r="A53" s="276"/>
      <c r="B53" s="896" t="s">
        <v>432</v>
      </c>
      <c r="C53" s="896" t="s">
        <v>433</v>
      </c>
      <c r="D53" s="331" t="s">
        <v>357</v>
      </c>
      <c r="E53" s="286">
        <v>0.5</v>
      </c>
      <c r="F53" s="287">
        <v>2000</v>
      </c>
      <c r="G53" s="307">
        <v>250</v>
      </c>
      <c r="H53" s="308">
        <v>250</v>
      </c>
      <c r="I53" s="297">
        <f>+G53/F53</f>
        <v>0.125</v>
      </c>
      <c r="J53" s="297">
        <f t="shared" si="29"/>
        <v>0.125</v>
      </c>
      <c r="K53" s="298">
        <f>+(G53/F53)*E53</f>
        <v>6.25E-2</v>
      </c>
      <c r="L53" s="298">
        <f t="shared" si="30"/>
        <v>6.25E-2</v>
      </c>
      <c r="M53" s="292">
        <v>350</v>
      </c>
      <c r="N53" s="595">
        <v>0</v>
      </c>
      <c r="O53" s="293">
        <v>723</v>
      </c>
      <c r="P53" s="293">
        <v>274</v>
      </c>
      <c r="Q53" s="292"/>
      <c r="R53" s="292">
        <f t="shared" ref="R53:R55" si="34">+N53+O53+P53+Q53</f>
        <v>997</v>
      </c>
      <c r="S53" s="292">
        <f t="shared" ref="S53:S55" si="35">+R53+M53</f>
        <v>1347</v>
      </c>
      <c r="T53" s="294">
        <v>1</v>
      </c>
      <c r="U53" s="295">
        <v>1</v>
      </c>
      <c r="V53" s="295">
        <f>+T53*E53</f>
        <v>0.5</v>
      </c>
      <c r="W53" s="295">
        <f t="shared" si="31"/>
        <v>0.5</v>
      </c>
      <c r="X53" s="295">
        <f>+M53/F53</f>
        <v>0.17499999999999999</v>
      </c>
      <c r="Y53" s="295">
        <f t="shared" si="32"/>
        <v>0.67349999999999999</v>
      </c>
      <c r="Z53" s="295">
        <f>+X53*E53</f>
        <v>8.7499999999999994E-2</v>
      </c>
      <c r="AA53" s="295">
        <f>+Y53*E53</f>
        <v>0.33674999999999999</v>
      </c>
      <c r="AB53" s="296" t="s">
        <v>1775</v>
      </c>
      <c r="AC53" s="594" t="s">
        <v>1799</v>
      </c>
      <c r="AD53" s="594" t="s">
        <v>1860</v>
      </c>
      <c r="AE53" s="605" t="s">
        <v>1867</v>
      </c>
      <c r="AF53" s="602" t="s">
        <v>1897</v>
      </c>
    </row>
    <row r="54" spans="1:32" ht="122.4" customHeight="1" thickBot="1" x14ac:dyDescent="0.45">
      <c r="A54" s="276"/>
      <c r="B54" s="896" t="s">
        <v>434</v>
      </c>
      <c r="C54" s="894" t="s">
        <v>435</v>
      </c>
      <c r="D54" s="331" t="s">
        <v>357</v>
      </c>
      <c r="E54" s="286">
        <v>0.35</v>
      </c>
      <c r="F54" s="287">
        <v>107</v>
      </c>
      <c r="G54" s="307">
        <v>25</v>
      </c>
      <c r="H54" s="308">
        <v>30</v>
      </c>
      <c r="I54" s="297">
        <f>+G54/F54</f>
        <v>0.23364485981308411</v>
      </c>
      <c r="J54" s="297">
        <f t="shared" si="29"/>
        <v>0.28037383177570091</v>
      </c>
      <c r="K54" s="298">
        <f>+(G54/F54)*E54</f>
        <v>8.1775700934579434E-2</v>
      </c>
      <c r="L54" s="298">
        <f t="shared" si="30"/>
        <v>9.813084112149531E-2</v>
      </c>
      <c r="M54" s="292">
        <v>78</v>
      </c>
      <c r="N54" s="595">
        <v>0</v>
      </c>
      <c r="O54" s="293">
        <v>15</v>
      </c>
      <c r="P54" s="293">
        <v>10</v>
      </c>
      <c r="Q54" s="292"/>
      <c r="R54" s="292">
        <f t="shared" si="34"/>
        <v>25</v>
      </c>
      <c r="S54" s="292">
        <f t="shared" si="35"/>
        <v>103</v>
      </c>
      <c r="T54" s="294">
        <v>1</v>
      </c>
      <c r="U54" s="295">
        <f t="shared" ref="U54:U90" si="36">+R54/H54</f>
        <v>0.83333333333333337</v>
      </c>
      <c r="V54" s="295">
        <f>+T54*E54</f>
        <v>0.35</v>
      </c>
      <c r="W54" s="295">
        <f t="shared" si="31"/>
        <v>0.29166666666666669</v>
      </c>
      <c r="X54" s="295">
        <f>+M54/F54</f>
        <v>0.7289719626168224</v>
      </c>
      <c r="Y54" s="295">
        <f t="shared" si="32"/>
        <v>0.96261682242990654</v>
      </c>
      <c r="Z54" s="295">
        <f>+X54*E54</f>
        <v>0.2551401869158878</v>
      </c>
      <c r="AA54" s="295">
        <f>+Y54*E54</f>
        <v>0.33691588785046728</v>
      </c>
      <c r="AB54" s="296" t="s">
        <v>1775</v>
      </c>
      <c r="AC54" s="594" t="s">
        <v>1799</v>
      </c>
      <c r="AD54" s="594" t="s">
        <v>1860</v>
      </c>
      <c r="AE54" s="605" t="s">
        <v>1867</v>
      </c>
      <c r="AF54" s="602" t="s">
        <v>1897</v>
      </c>
    </row>
    <row r="55" spans="1:32" ht="122.4" customHeight="1" thickBot="1" x14ac:dyDescent="0.45">
      <c r="A55" s="276"/>
      <c r="B55" s="896" t="s">
        <v>436</v>
      </c>
      <c r="C55" s="894" t="s">
        <v>437</v>
      </c>
      <c r="D55" s="331" t="s">
        <v>357</v>
      </c>
      <c r="E55" s="286">
        <v>0.15</v>
      </c>
      <c r="F55" s="287">
        <v>4</v>
      </c>
      <c r="G55" s="307">
        <v>1</v>
      </c>
      <c r="H55" s="308">
        <v>1</v>
      </c>
      <c r="I55" s="297">
        <f>+G55/F55</f>
        <v>0.25</v>
      </c>
      <c r="J55" s="297">
        <f t="shared" si="29"/>
        <v>0.25</v>
      </c>
      <c r="K55" s="298">
        <f>+(G55/F55)*E55</f>
        <v>3.7499999999999999E-2</v>
      </c>
      <c r="L55" s="298">
        <f t="shared" si="30"/>
        <v>3.7499999999999999E-2</v>
      </c>
      <c r="M55" s="292">
        <v>1</v>
      </c>
      <c r="N55" s="595">
        <v>0</v>
      </c>
      <c r="O55" s="293">
        <v>0</v>
      </c>
      <c r="P55" s="293">
        <v>0</v>
      </c>
      <c r="Q55" s="292"/>
      <c r="R55" s="292">
        <f t="shared" si="34"/>
        <v>0</v>
      </c>
      <c r="S55" s="292">
        <f t="shared" si="35"/>
        <v>1</v>
      </c>
      <c r="T55" s="294">
        <f>+(M55/G55)</f>
        <v>1</v>
      </c>
      <c r="U55" s="295">
        <f t="shared" si="36"/>
        <v>0</v>
      </c>
      <c r="V55" s="295">
        <f>+T55*E55</f>
        <v>0.15</v>
      </c>
      <c r="W55" s="295">
        <f t="shared" si="31"/>
        <v>0</v>
      </c>
      <c r="X55" s="295">
        <f>+M55/F55</f>
        <v>0.25</v>
      </c>
      <c r="Y55" s="295">
        <f t="shared" si="32"/>
        <v>0.25</v>
      </c>
      <c r="Z55" s="295">
        <f>+X55*E55</f>
        <v>3.7499999999999999E-2</v>
      </c>
      <c r="AA55" s="295">
        <f>+Y55*E55</f>
        <v>3.7499999999999999E-2</v>
      </c>
      <c r="AB55" s="296" t="s">
        <v>1775</v>
      </c>
      <c r="AC55" s="594" t="s">
        <v>1799</v>
      </c>
      <c r="AD55" s="594" t="s">
        <v>1860</v>
      </c>
      <c r="AE55" s="605" t="s">
        <v>1867</v>
      </c>
      <c r="AF55" s="602" t="s">
        <v>1897</v>
      </c>
    </row>
    <row r="56" spans="1:32" ht="122.4" customHeight="1" thickBot="1" x14ac:dyDescent="0.45">
      <c r="A56" s="276"/>
      <c r="B56" s="955" t="s">
        <v>1579</v>
      </c>
      <c r="C56" s="957"/>
      <c r="D56" s="331"/>
      <c r="E56" s="282">
        <v>0.02</v>
      </c>
      <c r="F56" s="302"/>
      <c r="G56" s="303"/>
      <c r="H56" s="283"/>
      <c r="I56" s="304">
        <f>+AVERAGE(I57:I59)</f>
        <v>0.19781931464174454</v>
      </c>
      <c r="J56" s="304">
        <f>+AVERAGE(J57:J59)</f>
        <v>0.12694704049844238</v>
      </c>
      <c r="K56" s="305">
        <f>+K57+K58+K59</f>
        <v>0.17172897196261683</v>
      </c>
      <c r="L56" s="305">
        <f>+L57+L58+L59</f>
        <v>0.16542056074766354</v>
      </c>
      <c r="M56" s="292"/>
      <c r="N56" s="306"/>
      <c r="O56" s="306"/>
      <c r="P56" s="306"/>
      <c r="Q56" s="306"/>
      <c r="R56" s="306"/>
      <c r="S56" s="306"/>
      <c r="T56" s="525">
        <f>+AVERAGE(T57:T59)</f>
        <v>0.66666666666666663</v>
      </c>
      <c r="U56" s="525">
        <f>+AVERAGE(U57:U59)</f>
        <v>1</v>
      </c>
      <c r="V56" s="329">
        <f>+(V57+V58+V59)*E56</f>
        <v>1.8000000000000002E-2</v>
      </c>
      <c r="W56" s="329">
        <f>+(W57+W58+W59)*E56</f>
        <v>1.8000000000000002E-2</v>
      </c>
      <c r="X56" s="284">
        <f>+AVERAGE(X57:X59)</f>
        <v>0.11448598130841121</v>
      </c>
      <c r="Y56" s="284">
        <f>+AVERAGE(Y57:Y59)</f>
        <v>0.37258566978193147</v>
      </c>
      <c r="Z56" s="284">
        <f>+(Z57+Z58+Z59)*E56</f>
        <v>2.9345794392523369E-3</v>
      </c>
      <c r="AA56" s="284">
        <f>+(AA57+AA58+AA59)</f>
        <v>0.47887850467289728</v>
      </c>
      <c r="AB56" s="285"/>
      <c r="AC56" s="271"/>
      <c r="AD56" s="272"/>
      <c r="AE56" s="272"/>
      <c r="AF56" s="272"/>
    </row>
    <row r="57" spans="1:32" ht="122.4" customHeight="1" thickBot="1" x14ac:dyDescent="0.45">
      <c r="A57" s="276"/>
      <c r="B57" s="896" t="s">
        <v>438</v>
      </c>
      <c r="C57" s="894" t="s">
        <v>439</v>
      </c>
      <c r="D57" s="331" t="s">
        <v>357</v>
      </c>
      <c r="E57" s="286">
        <v>0.5</v>
      </c>
      <c r="F57" s="287">
        <v>107</v>
      </c>
      <c r="G57" s="307">
        <v>10</v>
      </c>
      <c r="H57" s="308">
        <v>14</v>
      </c>
      <c r="I57" s="297">
        <f>+G57/F57</f>
        <v>9.3457943925233641E-2</v>
      </c>
      <c r="J57" s="297">
        <f t="shared" si="29"/>
        <v>0.13084112149532709</v>
      </c>
      <c r="K57" s="298">
        <f>+(G57/F57)*E57</f>
        <v>4.6728971962616821E-2</v>
      </c>
      <c r="L57" s="298">
        <f t="shared" si="30"/>
        <v>6.5420560747663545E-2</v>
      </c>
      <c r="M57" s="292">
        <v>10</v>
      </c>
      <c r="N57" s="300">
        <v>4</v>
      </c>
      <c r="O57" s="293">
        <v>10</v>
      </c>
      <c r="P57" s="292">
        <v>10</v>
      </c>
      <c r="Q57" s="292"/>
      <c r="R57" s="292">
        <f t="shared" ref="R57:R59" si="37">+N57+O57+P57+Q57</f>
        <v>24</v>
      </c>
      <c r="S57" s="292">
        <f t="shared" ref="S57:S59" si="38">+R57+M57</f>
        <v>34</v>
      </c>
      <c r="T57" s="294">
        <f>+(M57/G57)</f>
        <v>1</v>
      </c>
      <c r="U57" s="295">
        <v>1</v>
      </c>
      <c r="V57" s="295">
        <f>+T57*E57</f>
        <v>0.5</v>
      </c>
      <c r="W57" s="295">
        <f t="shared" si="31"/>
        <v>0.5</v>
      </c>
      <c r="X57" s="295">
        <f>+M57/F57</f>
        <v>9.3457943925233641E-2</v>
      </c>
      <c r="Y57" s="295">
        <f t="shared" si="32"/>
        <v>0.31775700934579437</v>
      </c>
      <c r="Z57" s="295">
        <f>+X57*E57</f>
        <v>4.6728971962616821E-2</v>
      </c>
      <c r="AA57" s="295">
        <f>+Y57*E57</f>
        <v>0.15887850467289719</v>
      </c>
      <c r="AB57" s="296" t="s">
        <v>1775</v>
      </c>
      <c r="AC57" s="594" t="s">
        <v>1799</v>
      </c>
      <c r="AD57" s="594" t="s">
        <v>1860</v>
      </c>
      <c r="AE57" s="605" t="s">
        <v>1867</v>
      </c>
      <c r="AF57" s="602" t="s">
        <v>1897</v>
      </c>
    </row>
    <row r="58" spans="1:32" ht="122.4" customHeight="1" thickBot="1" x14ac:dyDescent="0.45">
      <c r="A58" s="276"/>
      <c r="B58" s="896" t="s">
        <v>440</v>
      </c>
      <c r="C58" s="894" t="s">
        <v>441</v>
      </c>
      <c r="D58" s="331" t="s">
        <v>357</v>
      </c>
      <c r="E58" s="286">
        <v>0.1</v>
      </c>
      <c r="F58" s="287">
        <v>1</v>
      </c>
      <c r="G58" s="307">
        <v>0.25</v>
      </c>
      <c r="H58" s="308">
        <v>0</v>
      </c>
      <c r="I58" s="297">
        <f>+G58/F58</f>
        <v>0.25</v>
      </c>
      <c r="J58" s="297">
        <f t="shared" si="29"/>
        <v>0</v>
      </c>
      <c r="K58" s="298">
        <f>+(G58/F58)*E58</f>
        <v>2.5000000000000001E-2</v>
      </c>
      <c r="L58" s="298">
        <f t="shared" si="30"/>
        <v>0</v>
      </c>
      <c r="M58" s="292">
        <v>0</v>
      </c>
      <c r="N58" s="300"/>
      <c r="O58" s="293"/>
      <c r="P58" s="292"/>
      <c r="Q58" s="292"/>
      <c r="R58" s="292">
        <f t="shared" si="37"/>
        <v>0</v>
      </c>
      <c r="S58" s="292">
        <f t="shared" si="38"/>
        <v>0</v>
      </c>
      <c r="T58" s="294">
        <f>+(M58/G58)</f>
        <v>0</v>
      </c>
      <c r="U58" s="295"/>
      <c r="V58" s="295">
        <f>+T58*E58</f>
        <v>0</v>
      </c>
      <c r="W58" s="295">
        <f t="shared" si="31"/>
        <v>0</v>
      </c>
      <c r="X58" s="295">
        <f>+M58/F58</f>
        <v>0</v>
      </c>
      <c r="Y58" s="295">
        <f t="shared" si="32"/>
        <v>0</v>
      </c>
      <c r="Z58" s="295">
        <f>+X58*E58</f>
        <v>0</v>
      </c>
      <c r="AA58" s="295">
        <f>+Y58*E58</f>
        <v>0</v>
      </c>
      <c r="AB58" s="296" t="s">
        <v>1775</v>
      </c>
      <c r="AC58" s="593" t="s">
        <v>1805</v>
      </c>
      <c r="AD58" s="594" t="s">
        <v>1860</v>
      </c>
      <c r="AE58" s="605" t="s">
        <v>1867</v>
      </c>
      <c r="AF58" s="602" t="s">
        <v>1897</v>
      </c>
    </row>
    <row r="59" spans="1:32" ht="122.4" customHeight="1" thickBot="1" x14ac:dyDescent="0.45">
      <c r="A59" s="276"/>
      <c r="B59" s="896" t="s">
        <v>442</v>
      </c>
      <c r="C59" s="894" t="s">
        <v>443</v>
      </c>
      <c r="D59" s="331" t="s">
        <v>357</v>
      </c>
      <c r="E59" s="286">
        <v>0.4</v>
      </c>
      <c r="F59" s="287">
        <v>40</v>
      </c>
      <c r="G59" s="307">
        <v>10</v>
      </c>
      <c r="H59" s="308">
        <v>10</v>
      </c>
      <c r="I59" s="297">
        <f>+G59/F59</f>
        <v>0.25</v>
      </c>
      <c r="J59" s="297">
        <f t="shared" si="29"/>
        <v>0.25</v>
      </c>
      <c r="K59" s="298">
        <f>+(G59/F59)*E59</f>
        <v>0.1</v>
      </c>
      <c r="L59" s="298">
        <f t="shared" si="30"/>
        <v>0.1</v>
      </c>
      <c r="M59" s="292">
        <v>10</v>
      </c>
      <c r="N59" s="300">
        <v>3</v>
      </c>
      <c r="O59" s="293">
        <v>9</v>
      </c>
      <c r="P59" s="292">
        <v>10</v>
      </c>
      <c r="Q59" s="292"/>
      <c r="R59" s="292">
        <f t="shared" si="37"/>
        <v>22</v>
      </c>
      <c r="S59" s="292">
        <f t="shared" si="38"/>
        <v>32</v>
      </c>
      <c r="T59" s="294">
        <f>+(M59/G59)</f>
        <v>1</v>
      </c>
      <c r="U59" s="295">
        <v>1</v>
      </c>
      <c r="V59" s="295">
        <f>+T59*E59</f>
        <v>0.4</v>
      </c>
      <c r="W59" s="295">
        <f t="shared" si="31"/>
        <v>0.4</v>
      </c>
      <c r="X59" s="295">
        <f>+M59/F59</f>
        <v>0.25</v>
      </c>
      <c r="Y59" s="295">
        <f t="shared" si="32"/>
        <v>0.8</v>
      </c>
      <c r="Z59" s="295">
        <f>+X59*E59</f>
        <v>0.1</v>
      </c>
      <c r="AA59" s="295">
        <f>+Y59*E59</f>
        <v>0.32000000000000006</v>
      </c>
      <c r="AB59" s="296" t="s">
        <v>1775</v>
      </c>
      <c r="AC59" s="594" t="s">
        <v>1799</v>
      </c>
      <c r="AD59" s="594" t="s">
        <v>1860</v>
      </c>
      <c r="AE59" s="605" t="s">
        <v>1867</v>
      </c>
      <c r="AF59" s="602" t="s">
        <v>1897</v>
      </c>
    </row>
    <row r="60" spans="1:32" ht="122.4" customHeight="1" thickBot="1" x14ac:dyDescent="0.45">
      <c r="A60" s="276"/>
      <c r="B60" s="955" t="s">
        <v>1580</v>
      </c>
      <c r="C60" s="957"/>
      <c r="D60" s="331"/>
      <c r="E60" s="282">
        <v>0.1</v>
      </c>
      <c r="F60" s="287"/>
      <c r="G60" s="303"/>
      <c r="H60" s="283"/>
      <c r="I60" s="304">
        <f>+AVERAGE(I61:I67)</f>
        <v>0.21443137254901962</v>
      </c>
      <c r="J60" s="304">
        <f>+AVERAGE(J61:J67)</f>
        <v>0.2941830065359477</v>
      </c>
      <c r="K60" s="305">
        <f>+K61+K62+K63+K64+K65+K66+K67</f>
        <v>0.15490686274509805</v>
      </c>
      <c r="L60" s="305">
        <f>+L61+L62+L63+L64+L65+L66+L67</f>
        <v>0.28919771241830067</v>
      </c>
      <c r="M60" s="292"/>
      <c r="N60" s="306"/>
      <c r="O60" s="306"/>
      <c r="P60" s="306"/>
      <c r="Q60" s="306"/>
      <c r="R60" s="306"/>
      <c r="S60" s="306"/>
      <c r="T60" s="525">
        <f>+AVERAGE(T61:T67)</f>
        <v>0.91082380952380948</v>
      </c>
      <c r="U60" s="525">
        <f>+AVERAGE(U61:U67)</f>
        <v>0.33532729432729436</v>
      </c>
      <c r="V60" s="329">
        <f>+(V61+V62+V63+V64+V65+V66+V67)*E60</f>
        <v>7.9564761904761902E-2</v>
      </c>
      <c r="W60" s="329">
        <f>+(W61+W62+W63+W64+W65+W66+W67)*E60</f>
        <v>3.319975051975052E-2</v>
      </c>
      <c r="X60" s="284">
        <f>+AVERAGE(X61:X67)</f>
        <v>0.19200359477124182</v>
      </c>
      <c r="Y60" s="284">
        <f>+X60+((Y61-X61)/7)+((Y62-X62)/7)+((Y63-X63)/7)+((Y63-X63)/7)+((Y64-X64)/7)+((Y66-X66)/7)</f>
        <v>0.31259743230625581</v>
      </c>
      <c r="Z60" s="284">
        <f>+(Z61+Z62+Z63+Z64+Z65+Z66+Z67)*E60</f>
        <v>1.4392630718954247E-2</v>
      </c>
      <c r="AA60" s="284">
        <f>+(AA61+AA62+AA63+AA64+AA65+AA66+AA67)</f>
        <v>0.24563316993464052</v>
      </c>
      <c r="AB60" s="285"/>
      <c r="AC60" s="271"/>
      <c r="AD60" s="272"/>
      <c r="AE60" s="272"/>
      <c r="AF60" s="272"/>
    </row>
    <row r="61" spans="1:32" ht="122.4" customHeight="1" thickBot="1" x14ac:dyDescent="0.45">
      <c r="A61" s="276"/>
      <c r="B61" s="896" t="s">
        <v>444</v>
      </c>
      <c r="C61" s="894" t="s">
        <v>445</v>
      </c>
      <c r="D61" s="331" t="s">
        <v>357</v>
      </c>
      <c r="E61" s="286">
        <v>0.4</v>
      </c>
      <c r="F61" s="287">
        <v>9000</v>
      </c>
      <c r="G61" s="307">
        <v>1200</v>
      </c>
      <c r="H61" s="308">
        <v>2600</v>
      </c>
      <c r="I61" s="297">
        <f>+G61/F61</f>
        <v>0.13333333333333333</v>
      </c>
      <c r="J61" s="297">
        <f t="shared" si="29"/>
        <v>0.28888888888888886</v>
      </c>
      <c r="K61" s="298">
        <f>+(G61/F61)*E61</f>
        <v>5.3333333333333337E-2</v>
      </c>
      <c r="L61" s="298">
        <f t="shared" si="30"/>
        <v>0.11555555555555555</v>
      </c>
      <c r="M61" s="292">
        <v>1123</v>
      </c>
      <c r="N61" s="595">
        <v>0</v>
      </c>
      <c r="O61" s="595">
        <v>468</v>
      </c>
      <c r="P61" s="293">
        <v>363</v>
      </c>
      <c r="Q61" s="292"/>
      <c r="R61" s="292">
        <f t="shared" ref="R61:R67" si="39">+N61+O61+P61+Q61</f>
        <v>831</v>
      </c>
      <c r="S61" s="292">
        <f t="shared" ref="S61:S67" si="40">+R61+M61</f>
        <v>1954</v>
      </c>
      <c r="T61" s="294">
        <f>+(M61/G61)</f>
        <v>0.93583333333333329</v>
      </c>
      <c r="U61" s="295">
        <f t="shared" si="36"/>
        <v>0.31961538461538463</v>
      </c>
      <c r="V61" s="295">
        <f>+T61*E61</f>
        <v>0.37433333333333335</v>
      </c>
      <c r="W61" s="295">
        <f t="shared" si="31"/>
        <v>0.12784615384615386</v>
      </c>
      <c r="X61" s="295">
        <f>+M61/F61</f>
        <v>0.12477777777777778</v>
      </c>
      <c r="Y61" s="295">
        <f t="shared" si="32"/>
        <v>0.21711111111111112</v>
      </c>
      <c r="Z61" s="295">
        <f>+X61*E61</f>
        <v>4.9911111111111114E-2</v>
      </c>
      <c r="AA61" s="295">
        <f>+Y61*E61</f>
        <v>8.6844444444444446E-2</v>
      </c>
      <c r="AB61" s="296" t="s">
        <v>1775</v>
      </c>
      <c r="AC61" s="594" t="s">
        <v>1799</v>
      </c>
      <c r="AD61" s="594" t="s">
        <v>1860</v>
      </c>
      <c r="AE61" s="605" t="s">
        <v>1867</v>
      </c>
      <c r="AF61" s="602" t="s">
        <v>1897</v>
      </c>
    </row>
    <row r="62" spans="1:32" ht="172.2" customHeight="1" thickBot="1" x14ac:dyDescent="0.45">
      <c r="A62" s="276"/>
      <c r="B62" s="896" t="s">
        <v>446</v>
      </c>
      <c r="C62" s="894" t="s">
        <v>447</v>
      </c>
      <c r="D62" s="331" t="s">
        <v>357</v>
      </c>
      <c r="E62" s="286">
        <v>0.15</v>
      </c>
      <c r="F62" s="287">
        <v>544</v>
      </c>
      <c r="G62" s="307">
        <v>100</v>
      </c>
      <c r="H62" s="308">
        <v>148</v>
      </c>
      <c r="I62" s="297">
        <f>+G62/F62</f>
        <v>0.18382352941176472</v>
      </c>
      <c r="J62" s="297">
        <f t="shared" si="29"/>
        <v>0.27205882352941174</v>
      </c>
      <c r="K62" s="298">
        <f>+(G62/F62)*E62</f>
        <v>2.7573529411764709E-2</v>
      </c>
      <c r="L62" s="298">
        <f t="shared" si="30"/>
        <v>4.0808823529411759E-2</v>
      </c>
      <c r="M62" s="292">
        <v>100</v>
      </c>
      <c r="N62" s="595">
        <v>0</v>
      </c>
      <c r="O62" s="595">
        <v>0</v>
      </c>
      <c r="P62" s="293">
        <v>100</v>
      </c>
      <c r="Q62" s="292"/>
      <c r="R62" s="292">
        <f t="shared" si="39"/>
        <v>100</v>
      </c>
      <c r="S62" s="292">
        <f t="shared" si="40"/>
        <v>200</v>
      </c>
      <c r="T62" s="294">
        <f>+(M62/G62)</f>
        <v>1</v>
      </c>
      <c r="U62" s="295">
        <f t="shared" si="36"/>
        <v>0.67567567567567566</v>
      </c>
      <c r="V62" s="295">
        <f>+T62*E62</f>
        <v>0.15</v>
      </c>
      <c r="W62" s="295">
        <f t="shared" si="31"/>
        <v>0.10135135135135134</v>
      </c>
      <c r="X62" s="295">
        <f>+M62/F62</f>
        <v>0.18382352941176472</v>
      </c>
      <c r="Y62" s="295">
        <f t="shared" si="32"/>
        <v>0.36764705882352944</v>
      </c>
      <c r="Z62" s="295">
        <f>+X62*E62</f>
        <v>2.7573529411764709E-2</v>
      </c>
      <c r="AA62" s="295">
        <f t="shared" ref="AA62:AA67" si="41">+Y62*E62</f>
        <v>5.5147058823529417E-2</v>
      </c>
      <c r="AB62" s="296" t="s">
        <v>1775</v>
      </c>
      <c r="AC62" s="594" t="s">
        <v>1799</v>
      </c>
      <c r="AD62" s="594" t="s">
        <v>1860</v>
      </c>
      <c r="AE62" s="605" t="s">
        <v>1867</v>
      </c>
      <c r="AF62" s="602" t="s">
        <v>1897</v>
      </c>
    </row>
    <row r="63" spans="1:32" ht="122.4" customHeight="1" thickBot="1" x14ac:dyDescent="0.45">
      <c r="A63" s="276"/>
      <c r="B63" s="896" t="s">
        <v>448</v>
      </c>
      <c r="C63" s="894" t="s">
        <v>449</v>
      </c>
      <c r="D63" s="331" t="s">
        <v>357</v>
      </c>
      <c r="E63" s="286">
        <v>0.1</v>
      </c>
      <c r="F63" s="287">
        <v>12000</v>
      </c>
      <c r="G63" s="307">
        <v>2700</v>
      </c>
      <c r="H63" s="308">
        <v>3100</v>
      </c>
      <c r="I63" s="297">
        <f>+G63/F63</f>
        <v>0.22500000000000001</v>
      </c>
      <c r="J63" s="297">
        <f t="shared" si="29"/>
        <v>0.25833333333333336</v>
      </c>
      <c r="K63" s="298">
        <f>+(G63/F63)*E63</f>
        <v>2.2500000000000003E-2</v>
      </c>
      <c r="L63" s="298">
        <f t="shared" si="30"/>
        <v>2.5833333333333337E-2</v>
      </c>
      <c r="M63" s="292">
        <v>2705</v>
      </c>
      <c r="N63" s="595">
        <v>0</v>
      </c>
      <c r="O63" s="595">
        <v>0</v>
      </c>
      <c r="P63" s="293">
        <v>0</v>
      </c>
      <c r="Q63" s="292"/>
      <c r="R63" s="292">
        <f t="shared" si="39"/>
        <v>0</v>
      </c>
      <c r="S63" s="292">
        <f t="shared" si="40"/>
        <v>2705</v>
      </c>
      <c r="T63" s="294">
        <v>1</v>
      </c>
      <c r="U63" s="295">
        <f t="shared" si="36"/>
        <v>0</v>
      </c>
      <c r="V63" s="295">
        <f>+T63*E63</f>
        <v>0.1</v>
      </c>
      <c r="W63" s="295">
        <f t="shared" si="31"/>
        <v>0</v>
      </c>
      <c r="X63" s="295">
        <f>+M63/F63</f>
        <v>0.22541666666666665</v>
      </c>
      <c r="Y63" s="295">
        <f t="shared" si="32"/>
        <v>0.22541666666666665</v>
      </c>
      <c r="Z63" s="295">
        <f>+X63*E63</f>
        <v>2.2541666666666668E-2</v>
      </c>
      <c r="AA63" s="295">
        <f t="shared" si="41"/>
        <v>2.2541666666666668E-2</v>
      </c>
      <c r="AB63" s="296" t="s">
        <v>1775</v>
      </c>
      <c r="AC63" s="593" t="s">
        <v>1806</v>
      </c>
      <c r="AD63" s="594" t="s">
        <v>1860</v>
      </c>
      <c r="AE63" s="605" t="s">
        <v>1867</v>
      </c>
      <c r="AF63" s="602" t="s">
        <v>1897</v>
      </c>
    </row>
    <row r="64" spans="1:32" ht="122.4" customHeight="1" thickBot="1" x14ac:dyDescent="0.45">
      <c r="A64" s="276"/>
      <c r="B64" s="896" t="s">
        <v>450</v>
      </c>
      <c r="C64" s="894" t="s">
        <v>451</v>
      </c>
      <c r="D64" s="331" t="s">
        <v>357</v>
      </c>
      <c r="E64" s="286">
        <v>0.05</v>
      </c>
      <c r="F64" s="287">
        <v>25</v>
      </c>
      <c r="G64" s="307">
        <v>7</v>
      </c>
      <c r="H64" s="308">
        <v>6</v>
      </c>
      <c r="I64" s="297">
        <f>+G64/F64</f>
        <v>0.28000000000000003</v>
      </c>
      <c r="J64" s="297">
        <f t="shared" si="29"/>
        <v>0.24</v>
      </c>
      <c r="K64" s="298">
        <f>+(G64/F64)*E64</f>
        <v>1.4000000000000002E-2</v>
      </c>
      <c r="L64" s="298">
        <f t="shared" si="30"/>
        <v>1.2E-2</v>
      </c>
      <c r="M64" s="292">
        <v>5</v>
      </c>
      <c r="N64" s="595">
        <v>6</v>
      </c>
      <c r="O64" s="595">
        <v>0</v>
      </c>
      <c r="P64" s="293">
        <v>6</v>
      </c>
      <c r="Q64" s="292"/>
      <c r="R64" s="292">
        <f t="shared" si="39"/>
        <v>12</v>
      </c>
      <c r="S64" s="292">
        <f t="shared" si="40"/>
        <v>17</v>
      </c>
      <c r="T64" s="294">
        <f>+(M64/G64)</f>
        <v>0.7142857142857143</v>
      </c>
      <c r="U64" s="295">
        <v>1</v>
      </c>
      <c r="V64" s="295">
        <f>+T64*E64</f>
        <v>3.5714285714285719E-2</v>
      </c>
      <c r="W64" s="295">
        <f t="shared" si="31"/>
        <v>0.05</v>
      </c>
      <c r="X64" s="295">
        <f>+M64/F64</f>
        <v>0.2</v>
      </c>
      <c r="Y64" s="295">
        <f t="shared" si="32"/>
        <v>0.68</v>
      </c>
      <c r="Z64" s="295">
        <f>+X64*E64</f>
        <v>1.0000000000000002E-2</v>
      </c>
      <c r="AA64" s="295">
        <f t="shared" si="41"/>
        <v>3.4000000000000002E-2</v>
      </c>
      <c r="AB64" s="296" t="s">
        <v>1775</v>
      </c>
      <c r="AC64" s="594" t="s">
        <v>1799</v>
      </c>
      <c r="AD64" s="594" t="s">
        <v>1860</v>
      </c>
      <c r="AE64" s="605" t="s">
        <v>1867</v>
      </c>
      <c r="AF64" s="602" t="s">
        <v>1897</v>
      </c>
    </row>
    <row r="65" spans="1:32" ht="122.4" customHeight="1" thickBot="1" x14ac:dyDescent="0.45">
      <c r="A65" s="276"/>
      <c r="B65" s="896" t="s">
        <v>452</v>
      </c>
      <c r="C65" s="894" t="s">
        <v>453</v>
      </c>
      <c r="D65" s="331" t="s">
        <v>357</v>
      </c>
      <c r="E65" s="286">
        <v>0.1</v>
      </c>
      <c r="F65" s="287">
        <v>5</v>
      </c>
      <c r="G65" s="307">
        <v>0</v>
      </c>
      <c r="H65" s="308">
        <v>2</v>
      </c>
      <c r="I65" s="297"/>
      <c r="J65" s="297">
        <f t="shared" si="29"/>
        <v>0.4</v>
      </c>
      <c r="K65" s="298"/>
      <c r="L65" s="298">
        <f t="shared" si="30"/>
        <v>4.0000000000000008E-2</v>
      </c>
      <c r="M65" s="292"/>
      <c r="N65" s="595">
        <v>0</v>
      </c>
      <c r="O65" s="595">
        <v>0</v>
      </c>
      <c r="P65" s="293">
        <v>0</v>
      </c>
      <c r="Q65" s="292"/>
      <c r="R65" s="292">
        <f t="shared" si="39"/>
        <v>0</v>
      </c>
      <c r="S65" s="292">
        <f t="shared" si="40"/>
        <v>0</v>
      </c>
      <c r="T65" s="294"/>
      <c r="U65" s="295">
        <f t="shared" si="36"/>
        <v>0</v>
      </c>
      <c r="V65" s="295"/>
      <c r="W65" s="295">
        <f t="shared" si="31"/>
        <v>0</v>
      </c>
      <c r="X65" s="295"/>
      <c r="Y65" s="295">
        <v>0</v>
      </c>
      <c r="Z65" s="295"/>
      <c r="AA65" s="295">
        <f t="shared" si="41"/>
        <v>0</v>
      </c>
      <c r="AB65" s="296" t="s">
        <v>1775</v>
      </c>
      <c r="AC65" s="604" t="s">
        <v>1810</v>
      </c>
      <c r="AD65" s="594" t="s">
        <v>1860</v>
      </c>
      <c r="AE65" s="605" t="s">
        <v>1867</v>
      </c>
      <c r="AF65" s="602" t="s">
        <v>1897</v>
      </c>
    </row>
    <row r="66" spans="1:32" ht="122.4" customHeight="1" thickBot="1" x14ac:dyDescent="0.45">
      <c r="A66" s="276"/>
      <c r="B66" s="896" t="s">
        <v>454</v>
      </c>
      <c r="C66" s="894" t="s">
        <v>455</v>
      </c>
      <c r="D66" s="331" t="s">
        <v>357</v>
      </c>
      <c r="E66" s="286">
        <v>0.15</v>
      </c>
      <c r="F66" s="287">
        <v>500</v>
      </c>
      <c r="G66" s="307">
        <v>125</v>
      </c>
      <c r="H66" s="308">
        <v>125</v>
      </c>
      <c r="I66" s="297">
        <f>+G66/F66</f>
        <v>0.25</v>
      </c>
      <c r="J66" s="297">
        <f t="shared" si="29"/>
        <v>0.25</v>
      </c>
      <c r="K66" s="298">
        <f>+(G66/F66)*E66</f>
        <v>3.7499999999999999E-2</v>
      </c>
      <c r="L66" s="298">
        <f t="shared" si="30"/>
        <v>3.7499999999999999E-2</v>
      </c>
      <c r="M66" s="292">
        <v>113</v>
      </c>
      <c r="N66" s="595">
        <v>0</v>
      </c>
      <c r="O66" s="595">
        <v>44</v>
      </c>
      <c r="P66" s="293">
        <v>0</v>
      </c>
      <c r="Q66" s="292"/>
      <c r="R66" s="292">
        <f t="shared" si="39"/>
        <v>44</v>
      </c>
      <c r="S66" s="292">
        <f t="shared" si="40"/>
        <v>157</v>
      </c>
      <c r="T66" s="294">
        <f>+(M66/G66)</f>
        <v>0.90400000000000003</v>
      </c>
      <c r="U66" s="295">
        <f t="shared" si="36"/>
        <v>0.35199999999999998</v>
      </c>
      <c r="V66" s="295">
        <f>+T66*E66</f>
        <v>0.1356</v>
      </c>
      <c r="W66" s="295">
        <f t="shared" si="31"/>
        <v>5.2799999999999993E-2</v>
      </c>
      <c r="X66" s="295">
        <f>+M66/F66</f>
        <v>0.22600000000000001</v>
      </c>
      <c r="Y66" s="295">
        <f t="shared" si="32"/>
        <v>0.314</v>
      </c>
      <c r="Z66" s="295">
        <f>+X66*E66</f>
        <v>3.39E-2</v>
      </c>
      <c r="AA66" s="295">
        <f t="shared" si="41"/>
        <v>4.7099999999999996E-2</v>
      </c>
      <c r="AB66" s="296" t="s">
        <v>1775</v>
      </c>
      <c r="AC66" s="594" t="s">
        <v>1799</v>
      </c>
      <c r="AD66" s="594" t="s">
        <v>1860</v>
      </c>
      <c r="AE66" s="605" t="s">
        <v>1867</v>
      </c>
      <c r="AF66" s="602" t="s">
        <v>1897</v>
      </c>
    </row>
    <row r="67" spans="1:32" ht="122.4" customHeight="1" thickBot="1" x14ac:dyDescent="0.45">
      <c r="A67" s="276"/>
      <c r="B67" s="896" t="s">
        <v>456</v>
      </c>
      <c r="C67" s="894" t="s">
        <v>457</v>
      </c>
      <c r="D67" s="624" t="s">
        <v>357</v>
      </c>
      <c r="E67" s="286">
        <v>0.05</v>
      </c>
      <c r="F67" s="287">
        <v>200</v>
      </c>
      <c r="G67" s="307"/>
      <c r="H67" s="308">
        <v>70</v>
      </c>
      <c r="I67" s="297"/>
      <c r="J67" s="297">
        <f t="shared" si="29"/>
        <v>0.35</v>
      </c>
      <c r="K67" s="298"/>
      <c r="L67" s="298">
        <f t="shared" si="30"/>
        <v>1.7499999999999998E-2</v>
      </c>
      <c r="M67" s="292"/>
      <c r="N67" s="595">
        <v>0</v>
      </c>
      <c r="O67" s="595">
        <v>0</v>
      </c>
      <c r="P67" s="293">
        <v>0</v>
      </c>
      <c r="Q67" s="292"/>
      <c r="R67" s="292">
        <f t="shared" si="39"/>
        <v>0</v>
      </c>
      <c r="S67" s="292">
        <f t="shared" si="40"/>
        <v>0</v>
      </c>
      <c r="T67" s="294"/>
      <c r="U67" s="295">
        <f t="shared" si="36"/>
        <v>0</v>
      </c>
      <c r="V67" s="295"/>
      <c r="W67" s="295">
        <f t="shared" si="31"/>
        <v>0</v>
      </c>
      <c r="X67" s="295"/>
      <c r="Y67" s="295">
        <v>0</v>
      </c>
      <c r="Z67" s="295"/>
      <c r="AA67" s="295">
        <f t="shared" si="41"/>
        <v>0</v>
      </c>
      <c r="AB67" s="296" t="s">
        <v>1775</v>
      </c>
      <c r="AC67" s="604" t="s">
        <v>1810</v>
      </c>
      <c r="AD67" s="594" t="s">
        <v>1860</v>
      </c>
      <c r="AE67" s="605" t="s">
        <v>1867</v>
      </c>
      <c r="AF67" s="602" t="s">
        <v>1897</v>
      </c>
    </row>
    <row r="68" spans="1:32" ht="122.4" customHeight="1" thickBot="1" x14ac:dyDescent="0.45">
      <c r="A68" s="276"/>
      <c r="B68" s="955" t="s">
        <v>458</v>
      </c>
      <c r="C68" s="957"/>
      <c r="D68" s="631"/>
      <c r="E68" s="282">
        <v>0.02</v>
      </c>
      <c r="F68" s="302"/>
      <c r="G68" s="303"/>
      <c r="H68" s="283"/>
      <c r="I68" s="304">
        <f>+AVERAGE(I69:I72)</f>
        <v>0.20065789473684209</v>
      </c>
      <c r="J68" s="304">
        <f>+AVERAGE(J69:J72)</f>
        <v>0.29276315789473684</v>
      </c>
      <c r="K68" s="305">
        <f>+K69+K70+K71+K72</f>
        <v>0.24013157894736842</v>
      </c>
      <c r="L68" s="305">
        <f>+L69+L70+L71+L72</f>
        <v>0.25855263157894737</v>
      </c>
      <c r="M68" s="292"/>
      <c r="N68" s="306"/>
      <c r="O68" s="306"/>
      <c r="P68" s="306"/>
      <c r="Q68" s="306"/>
      <c r="R68" s="306"/>
      <c r="S68" s="306"/>
      <c r="T68" s="525">
        <f>+AVERAGE(T69:T72)</f>
        <v>0.72750000000000004</v>
      </c>
      <c r="U68" s="525">
        <f>+AVERAGE(U69:U72)</f>
        <v>0.449625</v>
      </c>
      <c r="V68" s="329">
        <f>+(V69+V70+V71+V72)*E68</f>
        <v>1.5910000000000001E-2</v>
      </c>
      <c r="W68" s="329">
        <f>+(W69+W70+W71+W72)*E68</f>
        <v>1.1169499999999999E-2</v>
      </c>
      <c r="X68" s="284">
        <f>+AVERAGE(X69:X72)</f>
        <v>0.1369736842105263</v>
      </c>
      <c r="Y68" s="597">
        <f>+AVERAGE(Y69:Y72)</f>
        <v>0.3344375</v>
      </c>
      <c r="Z68" s="284">
        <f>+(Z69+Z70+Z71+Z72)*E68</f>
        <v>3.7978947368421051E-3</v>
      </c>
      <c r="AA68" s="284">
        <f>+(AA69+AA70+AA71+AA72)</f>
        <v>0.38402500000000001</v>
      </c>
      <c r="AB68" s="285"/>
      <c r="AC68" s="271"/>
      <c r="AD68" s="272"/>
      <c r="AE68" s="272"/>
      <c r="AF68" s="272"/>
    </row>
    <row r="69" spans="1:32" ht="122.4" customHeight="1" thickBot="1" x14ac:dyDescent="0.45">
      <c r="A69" s="276"/>
      <c r="B69" s="896" t="s">
        <v>459</v>
      </c>
      <c r="C69" s="894" t="s">
        <v>460</v>
      </c>
      <c r="D69" s="625" t="s">
        <v>357</v>
      </c>
      <c r="E69" s="286">
        <v>0.05</v>
      </c>
      <c r="F69" s="287">
        <v>19</v>
      </c>
      <c r="G69" s="307">
        <v>1</v>
      </c>
      <c r="H69" s="308">
        <v>8</v>
      </c>
      <c r="I69" s="297">
        <f>+G69/F69</f>
        <v>5.2631578947368418E-2</v>
      </c>
      <c r="J69" s="297">
        <f t="shared" si="29"/>
        <v>0.42105263157894735</v>
      </c>
      <c r="K69" s="298">
        <f>+(G69/F69)*E69</f>
        <v>2.631578947368421E-3</v>
      </c>
      <c r="L69" s="298">
        <f t="shared" si="30"/>
        <v>2.1052631578947368E-2</v>
      </c>
      <c r="M69" s="292">
        <v>0.91</v>
      </c>
      <c r="N69" s="300">
        <v>1.6</v>
      </c>
      <c r="O69" s="293">
        <v>2.48</v>
      </c>
      <c r="P69" s="293">
        <v>0.14000000000000001</v>
      </c>
      <c r="Q69" s="292"/>
      <c r="R69" s="292">
        <f t="shared" ref="R69:R72" si="42">+N69+O69+P69+Q69</f>
        <v>4.22</v>
      </c>
      <c r="S69" s="292">
        <f t="shared" ref="S69:S72" si="43">+R69+M69</f>
        <v>5.13</v>
      </c>
      <c r="T69" s="294">
        <f>+(M69/G69)</f>
        <v>0.91</v>
      </c>
      <c r="U69" s="295">
        <f t="shared" si="36"/>
        <v>0.52749999999999997</v>
      </c>
      <c r="V69" s="295">
        <f>+T69*E69</f>
        <v>4.5500000000000006E-2</v>
      </c>
      <c r="W69" s="295">
        <f t="shared" si="31"/>
        <v>2.6374999999999999E-2</v>
      </c>
      <c r="X69" s="295">
        <f>+M69/F69</f>
        <v>4.7894736842105268E-2</v>
      </c>
      <c r="Y69" s="295">
        <f t="shared" si="32"/>
        <v>0.27</v>
      </c>
      <c r="Z69" s="295">
        <f>+X69*E69</f>
        <v>2.3947368421052637E-3</v>
      </c>
      <c r="AA69" s="295">
        <f>+Y69*E69</f>
        <v>1.3500000000000002E-2</v>
      </c>
      <c r="AB69" s="296" t="s">
        <v>1775</v>
      </c>
      <c r="AC69" s="594" t="s">
        <v>1799</v>
      </c>
      <c r="AD69" s="594" t="s">
        <v>1860</v>
      </c>
      <c r="AE69" s="605" t="s">
        <v>1867</v>
      </c>
      <c r="AF69" s="602" t="s">
        <v>1897</v>
      </c>
    </row>
    <row r="70" spans="1:32" ht="122.4" customHeight="1" thickBot="1" x14ac:dyDescent="0.45">
      <c r="A70" s="276"/>
      <c r="B70" s="796" t="s">
        <v>461</v>
      </c>
      <c r="C70" s="397" t="s">
        <v>462</v>
      </c>
      <c r="D70" s="487" t="s">
        <v>357</v>
      </c>
      <c r="E70" s="286">
        <v>0.2</v>
      </c>
      <c r="F70" s="287">
        <v>1</v>
      </c>
      <c r="G70" s="307">
        <v>0.25</v>
      </c>
      <c r="H70" s="308">
        <v>0.25</v>
      </c>
      <c r="I70" s="297">
        <f>+G70/F70</f>
        <v>0.25</v>
      </c>
      <c r="J70" s="297">
        <f t="shared" si="29"/>
        <v>0.25</v>
      </c>
      <c r="K70" s="298">
        <f>+(G70/F70)*E70</f>
        <v>0.05</v>
      </c>
      <c r="L70" s="298">
        <f t="shared" si="30"/>
        <v>0.05</v>
      </c>
      <c r="M70" s="292">
        <v>0</v>
      </c>
      <c r="N70" s="787">
        <v>2.5000000000000001E-2</v>
      </c>
      <c r="O70" s="787">
        <v>3.7499999999999999E-2</v>
      </c>
      <c r="P70" s="845"/>
      <c r="Q70" s="292"/>
      <c r="R70" s="292">
        <f t="shared" si="42"/>
        <v>6.25E-2</v>
      </c>
      <c r="S70" s="292">
        <f>+R70+M70+0.25</f>
        <v>0.3125</v>
      </c>
      <c r="T70" s="294">
        <f>+(M70/G70)</f>
        <v>0</v>
      </c>
      <c r="U70" s="295">
        <f t="shared" si="36"/>
        <v>0.25</v>
      </c>
      <c r="V70" s="295">
        <f>+T70*E70</f>
        <v>0</v>
      </c>
      <c r="W70" s="295">
        <f t="shared" si="31"/>
        <v>0.05</v>
      </c>
      <c r="X70" s="295">
        <f>+M70/F70</f>
        <v>0</v>
      </c>
      <c r="Y70" s="295">
        <f t="shared" si="32"/>
        <v>0.3125</v>
      </c>
      <c r="Z70" s="295">
        <f>+X70*E70</f>
        <v>0</v>
      </c>
      <c r="AA70" s="295">
        <f>+Y70*E70</f>
        <v>6.25E-2</v>
      </c>
      <c r="AB70" s="296" t="s">
        <v>1775</v>
      </c>
      <c r="AC70" s="594" t="s">
        <v>1799</v>
      </c>
      <c r="AD70" s="594" t="s">
        <v>1860</v>
      </c>
      <c r="AE70" s="605" t="s">
        <v>1867</v>
      </c>
      <c r="AF70" s="602" t="s">
        <v>1898</v>
      </c>
    </row>
    <row r="71" spans="1:32" ht="122.4" customHeight="1" thickBot="1" x14ac:dyDescent="0.45">
      <c r="A71" s="276"/>
      <c r="B71" s="896" t="s">
        <v>463</v>
      </c>
      <c r="C71" s="894" t="s">
        <v>464</v>
      </c>
      <c r="D71" s="628" t="s">
        <v>357</v>
      </c>
      <c r="E71" s="286">
        <v>0.6</v>
      </c>
      <c r="F71" s="287">
        <v>1</v>
      </c>
      <c r="G71" s="307">
        <v>0.25</v>
      </c>
      <c r="H71" s="308">
        <v>0.25</v>
      </c>
      <c r="I71" s="297">
        <f>+G71/F71</f>
        <v>0.25</v>
      </c>
      <c r="J71" s="297">
        <f t="shared" si="29"/>
        <v>0.25</v>
      </c>
      <c r="K71" s="298">
        <f>+(G71/F71)*E71</f>
        <v>0.15</v>
      </c>
      <c r="L71" s="298">
        <f t="shared" si="30"/>
        <v>0.15</v>
      </c>
      <c r="M71" s="299">
        <v>0.25</v>
      </c>
      <c r="N71" s="300">
        <v>1.2749999999999999E-2</v>
      </c>
      <c r="O71" s="787">
        <v>0.08</v>
      </c>
      <c r="P71" s="300">
        <v>0.09</v>
      </c>
      <c r="Q71" s="299"/>
      <c r="R71" s="299">
        <f t="shared" si="42"/>
        <v>0.18275</v>
      </c>
      <c r="S71" s="299">
        <f t="shared" si="43"/>
        <v>0.43274999999999997</v>
      </c>
      <c r="T71" s="294">
        <v>1</v>
      </c>
      <c r="U71" s="295">
        <f t="shared" si="36"/>
        <v>0.73099999999999998</v>
      </c>
      <c r="V71" s="295">
        <f>+T71*E71</f>
        <v>0.6</v>
      </c>
      <c r="W71" s="295">
        <f t="shared" si="31"/>
        <v>0.43859999999999999</v>
      </c>
      <c r="X71" s="295">
        <f>+M71/F71</f>
        <v>0.25</v>
      </c>
      <c r="Y71" s="295">
        <f t="shared" si="32"/>
        <v>0.43274999999999997</v>
      </c>
      <c r="Z71" s="295">
        <f>+X71*E71</f>
        <v>0.15</v>
      </c>
      <c r="AA71" s="295">
        <f>+Y71*E71</f>
        <v>0.25964999999999999</v>
      </c>
      <c r="AB71" s="296" t="s">
        <v>1775</v>
      </c>
      <c r="AC71" s="594" t="s">
        <v>1799</v>
      </c>
      <c r="AD71" s="594" t="s">
        <v>1860</v>
      </c>
      <c r="AE71" s="605" t="s">
        <v>1867</v>
      </c>
      <c r="AF71" s="602" t="s">
        <v>1897</v>
      </c>
    </row>
    <row r="72" spans="1:32" ht="122.4" customHeight="1" thickBot="1" x14ac:dyDescent="0.45">
      <c r="A72" s="276"/>
      <c r="B72" s="896" t="s">
        <v>465</v>
      </c>
      <c r="C72" s="894" t="s">
        <v>466</v>
      </c>
      <c r="D72" s="487" t="s">
        <v>357</v>
      </c>
      <c r="E72" s="286">
        <v>0.15</v>
      </c>
      <c r="F72" s="287">
        <v>1</v>
      </c>
      <c r="G72" s="307">
        <v>0.25</v>
      </c>
      <c r="H72" s="308">
        <v>0.25</v>
      </c>
      <c r="I72" s="297">
        <f>+G72/F72</f>
        <v>0.25</v>
      </c>
      <c r="J72" s="297">
        <f t="shared" si="29"/>
        <v>0.25</v>
      </c>
      <c r="K72" s="298">
        <f>+(G72/F72)*E72</f>
        <v>3.7499999999999999E-2</v>
      </c>
      <c r="L72" s="298">
        <f t="shared" si="30"/>
        <v>3.7499999999999999E-2</v>
      </c>
      <c r="M72" s="292">
        <v>0.25</v>
      </c>
      <c r="N72" s="787">
        <v>2.5000000000000001E-2</v>
      </c>
      <c r="O72" s="787">
        <v>3.7499999999999999E-2</v>
      </c>
      <c r="P72" s="293">
        <v>0.01</v>
      </c>
      <c r="Q72" s="292"/>
      <c r="R72" s="292">
        <f t="shared" si="42"/>
        <v>7.2499999999999995E-2</v>
      </c>
      <c r="S72" s="292">
        <f t="shared" si="43"/>
        <v>0.32250000000000001</v>
      </c>
      <c r="T72" s="294">
        <f>+(M72/G72)</f>
        <v>1</v>
      </c>
      <c r="U72" s="295">
        <f t="shared" si="36"/>
        <v>0.28999999999999998</v>
      </c>
      <c r="V72" s="295">
        <f>+T72*E72</f>
        <v>0.15</v>
      </c>
      <c r="W72" s="295">
        <f t="shared" si="31"/>
        <v>4.3499999999999997E-2</v>
      </c>
      <c r="X72" s="295">
        <f>+M72/F72</f>
        <v>0.25</v>
      </c>
      <c r="Y72" s="295">
        <f t="shared" si="32"/>
        <v>0.32250000000000001</v>
      </c>
      <c r="Z72" s="295">
        <f>+X72*E72</f>
        <v>3.7499999999999999E-2</v>
      </c>
      <c r="AA72" s="295">
        <f>+Y72*E72</f>
        <v>4.8375000000000001E-2</v>
      </c>
      <c r="AB72" s="296" t="s">
        <v>1775</v>
      </c>
      <c r="AC72" s="594" t="s">
        <v>1799</v>
      </c>
      <c r="AD72" s="594" t="s">
        <v>1860</v>
      </c>
      <c r="AE72" s="605" t="s">
        <v>1867</v>
      </c>
      <c r="AF72" s="602" t="s">
        <v>1897</v>
      </c>
    </row>
    <row r="73" spans="1:32" ht="122.4" customHeight="1" thickBot="1" x14ac:dyDescent="0.45">
      <c r="A73" s="276"/>
      <c r="B73" s="955" t="s">
        <v>1581</v>
      </c>
      <c r="C73" s="956"/>
      <c r="D73" s="632"/>
      <c r="E73" s="282">
        <v>0.02</v>
      </c>
      <c r="F73" s="287"/>
      <c r="G73" s="303"/>
      <c r="H73" s="283"/>
      <c r="I73" s="304">
        <f>+AVERAGE(I74:I76)</f>
        <v>0.26633986928104575</v>
      </c>
      <c r="J73" s="304">
        <f>+AVERAGE(J74:J76)</f>
        <v>0.51470588235294124</v>
      </c>
      <c r="K73" s="305">
        <f>+K74+K75+K76</f>
        <v>0.26470588235294118</v>
      </c>
      <c r="L73" s="305">
        <f>+L74+L75+L76</f>
        <v>0.4882352941176471</v>
      </c>
      <c r="M73" s="292"/>
      <c r="N73" s="306"/>
      <c r="O73" s="306"/>
      <c r="P73" s="306"/>
      <c r="Q73" s="306"/>
      <c r="R73" s="306"/>
      <c r="S73" s="306"/>
      <c r="T73" s="525">
        <f>+AVERAGE(T74:T76)</f>
        <v>0.33333333333333331</v>
      </c>
      <c r="U73" s="525">
        <f>+AVERAGE(U74:U76)</f>
        <v>0.51777777777777778</v>
      </c>
      <c r="V73" s="329">
        <f>+(V74+V75+V76)*E73</f>
        <v>6.0000000000000001E-3</v>
      </c>
      <c r="W73" s="329">
        <f>+(W74+W75+W76)*E73</f>
        <v>9.3200000000000002E-3</v>
      </c>
      <c r="X73" s="284">
        <f>+AVERAGE(X74:X76)</f>
        <v>0.10888888888888888</v>
      </c>
      <c r="Y73" s="284">
        <f>+AVERAGE(Y74:Y76)</f>
        <v>0.41960784313725491</v>
      </c>
      <c r="Z73" s="284">
        <f>+(Z74+Z75+Z76)*E73</f>
        <v>1.9599999999999999E-3</v>
      </c>
      <c r="AA73" s="284">
        <f>+(AA74+AA75+AA76)</f>
        <v>0.37764705882352939</v>
      </c>
      <c r="AB73" s="285"/>
      <c r="AC73" s="271"/>
      <c r="AD73" s="272"/>
      <c r="AE73" s="272"/>
      <c r="AF73" s="272"/>
    </row>
    <row r="74" spans="1:32" ht="122.4" customHeight="1" thickBot="1" x14ac:dyDescent="0.45">
      <c r="A74" s="276"/>
      <c r="B74" s="896" t="s">
        <v>467</v>
      </c>
      <c r="C74" s="907" t="s">
        <v>468</v>
      </c>
      <c r="D74" s="633" t="s">
        <v>357</v>
      </c>
      <c r="E74" s="286">
        <v>0.3</v>
      </c>
      <c r="F74" s="287">
        <v>150</v>
      </c>
      <c r="G74" s="307">
        <v>40</v>
      </c>
      <c r="H74" s="308">
        <v>150</v>
      </c>
      <c r="I74" s="297">
        <f>+G74/F74</f>
        <v>0.26666666666666666</v>
      </c>
      <c r="J74" s="297">
        <f t="shared" si="29"/>
        <v>1</v>
      </c>
      <c r="K74" s="298">
        <f>+(G74/F74)*E74</f>
        <v>0.08</v>
      </c>
      <c r="L74" s="298">
        <f t="shared" si="30"/>
        <v>0.3</v>
      </c>
      <c r="M74" s="314">
        <v>49</v>
      </c>
      <c r="N74" s="300">
        <v>50</v>
      </c>
      <c r="O74" s="293">
        <v>16</v>
      </c>
      <c r="P74" s="293">
        <v>35</v>
      </c>
      <c r="Q74" s="314"/>
      <c r="R74" s="314">
        <f t="shared" ref="R74:R76" si="44">+N74+O74+P74+Q74</f>
        <v>101</v>
      </c>
      <c r="S74" s="314">
        <f t="shared" ref="S74:S76" si="45">+R74+M74</f>
        <v>150</v>
      </c>
      <c r="T74" s="294">
        <v>1</v>
      </c>
      <c r="U74" s="295">
        <f t="shared" si="36"/>
        <v>0.67333333333333334</v>
      </c>
      <c r="V74" s="295">
        <f>+T74*E74</f>
        <v>0.3</v>
      </c>
      <c r="W74" s="295">
        <f t="shared" si="31"/>
        <v>0.20199999999999999</v>
      </c>
      <c r="X74" s="295">
        <f>+M74/F74</f>
        <v>0.32666666666666666</v>
      </c>
      <c r="Y74" s="295">
        <f t="shared" si="32"/>
        <v>1</v>
      </c>
      <c r="Z74" s="295">
        <f>+X74*E74</f>
        <v>9.799999999999999E-2</v>
      </c>
      <c r="AA74" s="295">
        <f>+Y74*E74</f>
        <v>0.3</v>
      </c>
      <c r="AB74" s="296" t="s">
        <v>1775</v>
      </c>
      <c r="AC74" s="594" t="s">
        <v>1799</v>
      </c>
      <c r="AD74" s="594" t="s">
        <v>1860</v>
      </c>
      <c r="AE74" s="605" t="s">
        <v>1867</v>
      </c>
      <c r="AF74" s="602" t="s">
        <v>1897</v>
      </c>
    </row>
    <row r="75" spans="1:32" ht="122.4" customHeight="1" thickBot="1" x14ac:dyDescent="0.45">
      <c r="A75" s="276"/>
      <c r="B75" s="896" t="s">
        <v>469</v>
      </c>
      <c r="C75" s="907" t="s">
        <v>470</v>
      </c>
      <c r="D75" s="633" t="s">
        <v>357</v>
      </c>
      <c r="E75" s="286">
        <v>0.4</v>
      </c>
      <c r="F75" s="287">
        <v>8</v>
      </c>
      <c r="G75" s="307">
        <v>2</v>
      </c>
      <c r="H75" s="308">
        <v>2</v>
      </c>
      <c r="I75" s="297">
        <f>+G75/F75</f>
        <v>0.25</v>
      </c>
      <c r="J75" s="297">
        <f t="shared" si="29"/>
        <v>0.25</v>
      </c>
      <c r="K75" s="298">
        <f>+(G75/F75)*E75</f>
        <v>0.1</v>
      </c>
      <c r="L75" s="298">
        <f t="shared" si="30"/>
        <v>0.1</v>
      </c>
      <c r="M75" s="292">
        <v>0</v>
      </c>
      <c r="N75" s="300">
        <v>0</v>
      </c>
      <c r="O75" s="293">
        <v>0</v>
      </c>
      <c r="P75" s="293">
        <v>0</v>
      </c>
      <c r="Q75" s="292"/>
      <c r="R75" s="292">
        <f t="shared" si="44"/>
        <v>0</v>
      </c>
      <c r="S75" s="292">
        <f t="shared" si="45"/>
        <v>0</v>
      </c>
      <c r="T75" s="294">
        <f>+(M75/G75)</f>
        <v>0</v>
      </c>
      <c r="U75" s="295">
        <f t="shared" si="36"/>
        <v>0</v>
      </c>
      <c r="V75" s="295">
        <f>+T75*E75</f>
        <v>0</v>
      </c>
      <c r="W75" s="295">
        <f t="shared" si="31"/>
        <v>0</v>
      </c>
      <c r="X75" s="295">
        <f>+M75/F75</f>
        <v>0</v>
      </c>
      <c r="Y75" s="295">
        <f t="shared" si="32"/>
        <v>0</v>
      </c>
      <c r="Z75" s="295">
        <f>+X75*E75</f>
        <v>0</v>
      </c>
      <c r="AA75" s="295">
        <f>+Y75*E75</f>
        <v>0</v>
      </c>
      <c r="AB75" s="296" t="s">
        <v>1775</v>
      </c>
      <c r="AC75" s="594" t="s">
        <v>1799</v>
      </c>
      <c r="AD75" s="594" t="s">
        <v>1860</v>
      </c>
      <c r="AE75" s="605" t="s">
        <v>1867</v>
      </c>
      <c r="AF75" s="602" t="s">
        <v>1897</v>
      </c>
    </row>
    <row r="76" spans="1:32" ht="122.4" customHeight="1" thickBot="1" x14ac:dyDescent="0.45">
      <c r="A76" s="276"/>
      <c r="B76" s="896" t="s">
        <v>471</v>
      </c>
      <c r="C76" s="907" t="s">
        <v>472</v>
      </c>
      <c r="D76" s="633" t="s">
        <v>357</v>
      </c>
      <c r="E76" s="286">
        <v>0.3</v>
      </c>
      <c r="F76" s="287">
        <v>85</v>
      </c>
      <c r="G76" s="307">
        <v>24</v>
      </c>
      <c r="H76" s="308">
        <v>25</v>
      </c>
      <c r="I76" s="297">
        <f>+G76/F76</f>
        <v>0.28235294117647058</v>
      </c>
      <c r="J76" s="297">
        <f t="shared" si="29"/>
        <v>0.29411764705882354</v>
      </c>
      <c r="K76" s="298">
        <f>+(G76/F76)*E76</f>
        <v>8.4705882352941173E-2</v>
      </c>
      <c r="L76" s="298">
        <f t="shared" si="30"/>
        <v>8.8235294117647065E-2</v>
      </c>
      <c r="M76" s="292">
        <v>0</v>
      </c>
      <c r="N76" s="300">
        <v>15</v>
      </c>
      <c r="O76" s="293">
        <v>5</v>
      </c>
      <c r="P76" s="293">
        <v>2</v>
      </c>
      <c r="Q76" s="292"/>
      <c r="R76" s="292">
        <f t="shared" si="44"/>
        <v>22</v>
      </c>
      <c r="S76" s="292">
        <f t="shared" si="45"/>
        <v>22</v>
      </c>
      <c r="T76" s="294">
        <f>+(M76/G76)</f>
        <v>0</v>
      </c>
      <c r="U76" s="295">
        <f t="shared" si="36"/>
        <v>0.88</v>
      </c>
      <c r="V76" s="295">
        <f>+T76*E76</f>
        <v>0</v>
      </c>
      <c r="W76" s="295">
        <f t="shared" si="31"/>
        <v>0.26400000000000001</v>
      </c>
      <c r="X76" s="295">
        <f>+M76/F76</f>
        <v>0</v>
      </c>
      <c r="Y76" s="295">
        <f t="shared" si="32"/>
        <v>0.25882352941176473</v>
      </c>
      <c r="Z76" s="295">
        <f>+X76*E76</f>
        <v>0</v>
      </c>
      <c r="AA76" s="295">
        <f>+Y76*E76</f>
        <v>7.7647058823529416E-2</v>
      </c>
      <c r="AB76" s="296" t="s">
        <v>1775</v>
      </c>
      <c r="AC76" s="594" t="s">
        <v>1799</v>
      </c>
      <c r="AD76" s="594" t="s">
        <v>1860</v>
      </c>
      <c r="AE76" s="605" t="s">
        <v>1867</v>
      </c>
      <c r="AF76" s="602" t="s">
        <v>1897</v>
      </c>
    </row>
    <row r="77" spans="1:32" ht="122.4" customHeight="1" thickBot="1" x14ac:dyDescent="0.45">
      <c r="A77" s="276"/>
      <c r="B77" s="955" t="s">
        <v>1582</v>
      </c>
      <c r="C77" s="956"/>
      <c r="D77" s="633"/>
      <c r="E77" s="282">
        <v>0.1</v>
      </c>
      <c r="F77" s="302"/>
      <c r="G77" s="303"/>
      <c r="H77" s="283"/>
      <c r="I77" s="304">
        <f>+AVERAGE(I78:I84)</f>
        <v>0.19</v>
      </c>
      <c r="J77" s="304">
        <f>+AVERAGE(J78:J84)</f>
        <v>0.25316323485526709</v>
      </c>
      <c r="K77" s="305">
        <f>+K78+K79+K80+K81+K82+K83+K84</f>
        <v>3.9E-2</v>
      </c>
      <c r="L77" s="305">
        <f>+L78+L79+L80+L81+L82+L83+L84</f>
        <v>0.10689794091316027</v>
      </c>
      <c r="M77" s="292"/>
      <c r="N77" s="306"/>
      <c r="O77" s="306"/>
      <c r="P77" s="306"/>
      <c r="Q77" s="306"/>
      <c r="R77" s="306"/>
      <c r="S77" s="306"/>
      <c r="T77" s="525">
        <f>+AVERAGE(T78:T84)</f>
        <v>0</v>
      </c>
      <c r="U77" s="525">
        <f>+AVERAGE(U78:U84)</f>
        <v>0.86428571428571432</v>
      </c>
      <c r="V77" s="329">
        <f>+(V78+V79+V80+V81+V82+V83+V84)*E77</f>
        <v>0</v>
      </c>
      <c r="W77" s="329">
        <f>+(W78+W79+W80+W81+W82+W83+W84)*E77</f>
        <v>4.0928571428571432E-2</v>
      </c>
      <c r="X77" s="284">
        <f>+AVERAGE(X78:X84)</f>
        <v>0</v>
      </c>
      <c r="Y77" s="284">
        <f>+AVERAGE(Y78:Y84)</f>
        <v>0.10283161742763354</v>
      </c>
      <c r="Z77" s="284">
        <f>+(Z78+Z79+Z80+Z81+Z82+Z83+Z84)*E77</f>
        <v>0</v>
      </c>
      <c r="AA77" s="284">
        <f>+(AA78+AA79+AA80+AA81+AA82+AA83+AA84)</f>
        <v>9.2647940913160254E-2</v>
      </c>
      <c r="AB77" s="285"/>
      <c r="AC77" s="271"/>
      <c r="AD77" s="272"/>
      <c r="AE77" s="272"/>
      <c r="AF77" s="272"/>
    </row>
    <row r="78" spans="1:32" ht="122.4" customHeight="1" thickBot="1" x14ac:dyDescent="0.45">
      <c r="A78" s="276"/>
      <c r="B78" s="896" t="s">
        <v>473</v>
      </c>
      <c r="C78" s="907" t="s">
        <v>474</v>
      </c>
      <c r="D78" s="633" t="s">
        <v>475</v>
      </c>
      <c r="E78" s="286">
        <v>0.1</v>
      </c>
      <c r="F78" s="287">
        <v>20</v>
      </c>
      <c r="G78" s="307"/>
      <c r="H78" s="308">
        <v>7</v>
      </c>
      <c r="I78" s="297"/>
      <c r="J78" s="297">
        <f t="shared" si="29"/>
        <v>0.35</v>
      </c>
      <c r="K78" s="298"/>
      <c r="L78" s="298">
        <f t="shared" si="30"/>
        <v>3.4999999999999996E-2</v>
      </c>
      <c r="M78" s="292"/>
      <c r="N78" s="300"/>
      <c r="O78" s="300">
        <v>0</v>
      </c>
      <c r="P78" s="300">
        <v>4.1500000000000004</v>
      </c>
      <c r="Q78" s="292"/>
      <c r="R78" s="292">
        <f t="shared" ref="R78:R84" si="46">+N78+O78+P78+Q78</f>
        <v>4.1500000000000004</v>
      </c>
      <c r="S78" s="292">
        <f t="shared" ref="S78:S84" si="47">+R78+M78</f>
        <v>4.1500000000000004</v>
      </c>
      <c r="T78" s="294"/>
      <c r="U78" s="295">
        <f t="shared" si="36"/>
        <v>0.59285714285714286</v>
      </c>
      <c r="V78" s="295"/>
      <c r="W78" s="295">
        <f t="shared" si="31"/>
        <v>5.9285714285714289E-2</v>
      </c>
      <c r="X78" s="295"/>
      <c r="Y78" s="295">
        <f t="shared" si="32"/>
        <v>0.20750000000000002</v>
      </c>
      <c r="Z78" s="295">
        <f>+X78*E78</f>
        <v>0</v>
      </c>
      <c r="AA78" s="295">
        <f t="shared" ref="AA78:AA84" si="48">+Y78*E78</f>
        <v>2.0750000000000005E-2</v>
      </c>
      <c r="AB78" s="318" t="s">
        <v>1505</v>
      </c>
      <c r="AC78" s="655" t="s">
        <v>1799</v>
      </c>
      <c r="AD78" s="655" t="s">
        <v>1860</v>
      </c>
      <c r="AE78" s="605" t="s">
        <v>1867</v>
      </c>
      <c r="AF78" s="602" t="s">
        <v>1897</v>
      </c>
    </row>
    <row r="79" spans="1:32" ht="122.4" customHeight="1" thickBot="1" x14ac:dyDescent="0.45">
      <c r="A79" s="276"/>
      <c r="B79" s="896" t="s">
        <v>476</v>
      </c>
      <c r="C79" s="907" t="s">
        <v>477</v>
      </c>
      <c r="D79" s="633" t="s">
        <v>475</v>
      </c>
      <c r="E79" s="286">
        <v>0.05</v>
      </c>
      <c r="F79" s="287">
        <v>1</v>
      </c>
      <c r="G79" s="307">
        <v>0.18</v>
      </c>
      <c r="H79" s="308">
        <v>0</v>
      </c>
      <c r="I79" s="297">
        <f>+G79/F79</f>
        <v>0.18</v>
      </c>
      <c r="J79" s="297"/>
      <c r="K79" s="298">
        <f>+(G79/F79)*E79</f>
        <v>8.9999999999999993E-3</v>
      </c>
      <c r="L79" s="298"/>
      <c r="M79" s="292">
        <v>0</v>
      </c>
      <c r="N79" s="300"/>
      <c r="O79" s="293"/>
      <c r="P79" s="293"/>
      <c r="Q79" s="292"/>
      <c r="R79" s="292">
        <f t="shared" si="46"/>
        <v>0</v>
      </c>
      <c r="S79" s="292">
        <f t="shared" si="47"/>
        <v>0</v>
      </c>
      <c r="T79" s="294">
        <f>+(M79/G79)</f>
        <v>0</v>
      </c>
      <c r="U79" s="295"/>
      <c r="V79" s="295">
        <f>+T79*E79</f>
        <v>0</v>
      </c>
      <c r="W79" s="295"/>
      <c r="X79" s="295">
        <f>+M79/F79</f>
        <v>0</v>
      </c>
      <c r="Y79" s="295">
        <f t="shared" si="32"/>
        <v>0</v>
      </c>
      <c r="Z79" s="295">
        <f>+X79*E79</f>
        <v>0</v>
      </c>
      <c r="AA79" s="295">
        <f t="shared" si="48"/>
        <v>0</v>
      </c>
      <c r="AB79" s="296" t="s">
        <v>1775</v>
      </c>
      <c r="AC79" s="655" t="s">
        <v>1799</v>
      </c>
      <c r="AD79" s="655" t="s">
        <v>1860</v>
      </c>
      <c r="AE79" s="605" t="s">
        <v>1867</v>
      </c>
      <c r="AF79" s="602" t="s">
        <v>1897</v>
      </c>
    </row>
    <row r="80" spans="1:32" ht="122.4" customHeight="1" thickBot="1" x14ac:dyDescent="0.45">
      <c r="A80" s="276"/>
      <c r="B80" s="896" t="s">
        <v>478</v>
      </c>
      <c r="C80" s="907" t="s">
        <v>479</v>
      </c>
      <c r="D80" s="633" t="s">
        <v>475</v>
      </c>
      <c r="E80" s="286">
        <v>0.2</v>
      </c>
      <c r="F80" s="287">
        <v>1526</v>
      </c>
      <c r="G80" s="307">
        <v>0</v>
      </c>
      <c r="H80" s="308">
        <v>0</v>
      </c>
      <c r="I80" s="297"/>
      <c r="J80" s="297"/>
      <c r="K80" s="298"/>
      <c r="L80" s="298"/>
      <c r="M80" s="292"/>
      <c r="N80" s="300"/>
      <c r="O80" s="293"/>
      <c r="P80" s="293"/>
      <c r="Q80" s="292"/>
      <c r="R80" s="292">
        <f t="shared" si="46"/>
        <v>0</v>
      </c>
      <c r="S80" s="292">
        <f t="shared" si="47"/>
        <v>0</v>
      </c>
      <c r="T80" s="294"/>
      <c r="U80" s="295"/>
      <c r="V80" s="295"/>
      <c r="W80" s="295"/>
      <c r="X80" s="295"/>
      <c r="Y80" s="295"/>
      <c r="Z80" s="295"/>
      <c r="AA80" s="295">
        <f t="shared" si="48"/>
        <v>0</v>
      </c>
      <c r="AB80" s="318" t="s">
        <v>1505</v>
      </c>
      <c r="AC80" s="655" t="s">
        <v>1799</v>
      </c>
      <c r="AD80" s="655" t="s">
        <v>1860</v>
      </c>
      <c r="AE80" s="605" t="s">
        <v>1867</v>
      </c>
      <c r="AF80" s="602" t="s">
        <v>1897</v>
      </c>
    </row>
    <row r="81" spans="1:32" ht="122.4" customHeight="1" thickBot="1" x14ac:dyDescent="0.45">
      <c r="A81" s="276"/>
      <c r="B81" s="896" t="s">
        <v>480</v>
      </c>
      <c r="C81" s="907" t="s">
        <v>481</v>
      </c>
      <c r="D81" s="633" t="s">
        <v>475</v>
      </c>
      <c r="E81" s="286">
        <v>0.15</v>
      </c>
      <c r="F81" s="287">
        <v>5</v>
      </c>
      <c r="G81" s="307">
        <v>1</v>
      </c>
      <c r="H81" s="308">
        <v>1</v>
      </c>
      <c r="I81" s="297">
        <f>+G81/F81</f>
        <v>0.2</v>
      </c>
      <c r="J81" s="297">
        <f t="shared" si="29"/>
        <v>0.2</v>
      </c>
      <c r="K81" s="298">
        <f>+(G81/F81)*E81</f>
        <v>0.03</v>
      </c>
      <c r="L81" s="298">
        <f t="shared" si="30"/>
        <v>0.03</v>
      </c>
      <c r="M81" s="292">
        <v>0</v>
      </c>
      <c r="N81" s="300"/>
      <c r="O81" s="293">
        <v>0</v>
      </c>
      <c r="P81" s="300">
        <v>1</v>
      </c>
      <c r="Q81" s="292"/>
      <c r="R81" s="292">
        <f t="shared" si="46"/>
        <v>1</v>
      </c>
      <c r="S81" s="292">
        <f t="shared" si="47"/>
        <v>1</v>
      </c>
      <c r="T81" s="294">
        <f>+(M81/G81)</f>
        <v>0</v>
      </c>
      <c r="U81" s="295">
        <f t="shared" si="36"/>
        <v>1</v>
      </c>
      <c r="V81" s="295">
        <f>+T81*E81</f>
        <v>0</v>
      </c>
      <c r="W81" s="295">
        <f t="shared" si="31"/>
        <v>0.15</v>
      </c>
      <c r="X81" s="295">
        <f>+M81/F81</f>
        <v>0</v>
      </c>
      <c r="Y81" s="295">
        <f t="shared" si="32"/>
        <v>0.2</v>
      </c>
      <c r="Z81" s="295">
        <f>+X81*E81</f>
        <v>0</v>
      </c>
      <c r="AA81" s="295">
        <f t="shared" si="48"/>
        <v>0.03</v>
      </c>
      <c r="AB81" s="296" t="s">
        <v>1775</v>
      </c>
      <c r="AC81" s="655" t="s">
        <v>1799</v>
      </c>
      <c r="AD81" s="655" t="s">
        <v>1860</v>
      </c>
      <c r="AE81" s="605" t="s">
        <v>1867</v>
      </c>
      <c r="AF81" s="602" t="s">
        <v>1897</v>
      </c>
    </row>
    <row r="82" spans="1:32" ht="122.4" customHeight="1" thickBot="1" x14ac:dyDescent="0.45">
      <c r="A82" s="276"/>
      <c r="B82" s="897" t="s">
        <v>482</v>
      </c>
      <c r="C82" s="898" t="s">
        <v>483</v>
      </c>
      <c r="D82" s="634" t="s">
        <v>475</v>
      </c>
      <c r="E82" s="286">
        <v>0.15</v>
      </c>
      <c r="F82" s="287">
        <v>6</v>
      </c>
      <c r="G82" s="307"/>
      <c r="H82" s="308">
        <v>0</v>
      </c>
      <c r="I82" s="297"/>
      <c r="J82" s="297"/>
      <c r="K82" s="298"/>
      <c r="L82" s="298"/>
      <c r="M82" s="292"/>
      <c r="N82" s="300"/>
      <c r="O82" s="293"/>
      <c r="P82" s="293"/>
      <c r="Q82" s="292"/>
      <c r="R82" s="292">
        <f t="shared" si="46"/>
        <v>0</v>
      </c>
      <c r="S82" s="292">
        <f t="shared" si="47"/>
        <v>0</v>
      </c>
      <c r="T82" s="294"/>
      <c r="U82" s="295"/>
      <c r="V82" s="295"/>
      <c r="W82" s="295"/>
      <c r="X82" s="295"/>
      <c r="Y82" s="295">
        <f t="shared" si="32"/>
        <v>0</v>
      </c>
      <c r="Z82" s="295"/>
      <c r="AA82" s="295">
        <f t="shared" si="48"/>
        <v>0</v>
      </c>
      <c r="AB82" s="318" t="s">
        <v>1505</v>
      </c>
      <c r="AC82" s="655" t="s">
        <v>1799</v>
      </c>
      <c r="AD82" s="655" t="s">
        <v>1860</v>
      </c>
      <c r="AE82" s="605" t="s">
        <v>1867</v>
      </c>
      <c r="AF82" s="602" t="s">
        <v>1897</v>
      </c>
    </row>
    <row r="83" spans="1:32" ht="122.4" customHeight="1" thickBot="1" x14ac:dyDescent="0.45">
      <c r="A83" s="276"/>
      <c r="B83" s="899" t="s">
        <v>484</v>
      </c>
      <c r="C83" s="900" t="s">
        <v>485</v>
      </c>
      <c r="D83" s="627" t="s">
        <v>475</v>
      </c>
      <c r="E83" s="286">
        <v>0.15</v>
      </c>
      <c r="F83" s="287">
        <v>2</v>
      </c>
      <c r="G83" s="307"/>
      <c r="H83" s="308">
        <v>0</v>
      </c>
      <c r="I83" s="297"/>
      <c r="J83" s="297"/>
      <c r="K83" s="298"/>
      <c r="L83" s="298"/>
      <c r="M83" s="292"/>
      <c r="N83" s="300"/>
      <c r="O83" s="293"/>
      <c r="P83" s="293"/>
      <c r="Q83" s="292"/>
      <c r="R83" s="292">
        <f t="shared" si="46"/>
        <v>0</v>
      </c>
      <c r="S83" s="292">
        <f t="shared" si="47"/>
        <v>0</v>
      </c>
      <c r="T83" s="294"/>
      <c r="U83" s="295"/>
      <c r="V83" s="295"/>
      <c r="W83" s="295"/>
      <c r="X83" s="295"/>
      <c r="Y83" s="295">
        <f t="shared" si="32"/>
        <v>0</v>
      </c>
      <c r="Z83" s="295"/>
      <c r="AA83" s="295">
        <f t="shared" si="48"/>
        <v>0</v>
      </c>
      <c r="AB83" s="318" t="s">
        <v>1505</v>
      </c>
      <c r="AC83" s="655" t="s">
        <v>1799</v>
      </c>
      <c r="AD83" s="655" t="s">
        <v>1860</v>
      </c>
      <c r="AE83" s="605" t="s">
        <v>1867</v>
      </c>
      <c r="AF83" s="602" t="s">
        <v>1897</v>
      </c>
    </row>
    <row r="84" spans="1:32" ht="161.4" customHeight="1" thickBot="1" x14ac:dyDescent="0.45">
      <c r="A84" s="276"/>
      <c r="B84" s="903" t="s">
        <v>486</v>
      </c>
      <c r="C84" s="904" t="s">
        <v>487</v>
      </c>
      <c r="D84" s="487" t="s">
        <v>475</v>
      </c>
      <c r="E84" s="286">
        <v>0.2</v>
      </c>
      <c r="F84" s="287">
        <v>2234</v>
      </c>
      <c r="G84" s="307"/>
      <c r="H84" s="308">
        <v>468</v>
      </c>
      <c r="I84" s="297"/>
      <c r="J84" s="297">
        <f t="shared" si="29"/>
        <v>0.20948970456580127</v>
      </c>
      <c r="K84" s="298"/>
      <c r="L84" s="298">
        <f t="shared" si="30"/>
        <v>4.1897940913160257E-2</v>
      </c>
      <c r="M84" s="292"/>
      <c r="N84" s="300"/>
      <c r="O84" s="293">
        <v>0</v>
      </c>
      <c r="P84" s="293">
        <v>468</v>
      </c>
      <c r="Q84" s="292"/>
      <c r="R84" s="292">
        <f t="shared" si="46"/>
        <v>468</v>
      </c>
      <c r="S84" s="292">
        <f t="shared" si="47"/>
        <v>468</v>
      </c>
      <c r="T84" s="294"/>
      <c r="U84" s="295">
        <f t="shared" si="36"/>
        <v>1</v>
      </c>
      <c r="V84" s="295"/>
      <c r="W84" s="295">
        <f t="shared" si="31"/>
        <v>0.2</v>
      </c>
      <c r="X84" s="295"/>
      <c r="Y84" s="295">
        <f t="shared" si="32"/>
        <v>0.20948970456580127</v>
      </c>
      <c r="Z84" s="295">
        <f>+X84*E84</f>
        <v>0</v>
      </c>
      <c r="AA84" s="295">
        <f t="shared" si="48"/>
        <v>4.1897940913160257E-2</v>
      </c>
      <c r="AB84" s="318" t="s">
        <v>1505</v>
      </c>
      <c r="AC84" s="655" t="s">
        <v>1799</v>
      </c>
      <c r="AD84" s="655" t="s">
        <v>1860</v>
      </c>
      <c r="AE84" s="602" t="s">
        <v>1867</v>
      </c>
      <c r="AF84" s="602" t="s">
        <v>1897</v>
      </c>
    </row>
    <row r="85" spans="1:32" ht="122.4" customHeight="1" thickBot="1" x14ac:dyDescent="0.45">
      <c r="A85" s="276"/>
      <c r="B85" s="958" t="s">
        <v>1583</v>
      </c>
      <c r="C85" s="959"/>
      <c r="D85" s="635"/>
      <c r="E85" s="282">
        <v>0.09</v>
      </c>
      <c r="F85" s="302"/>
      <c r="G85" s="303"/>
      <c r="H85" s="283"/>
      <c r="I85" s="304">
        <f>+AVERAGE(I86:I90)</f>
        <v>0.36527777777777776</v>
      </c>
      <c r="J85" s="304">
        <f>+AVERAGE(J86:J90)</f>
        <v>0.24861111111111106</v>
      </c>
      <c r="K85" s="305">
        <f>+K86+K87+K88+K89+K90</f>
        <v>0.41006944444444449</v>
      </c>
      <c r="L85" s="305">
        <f>+L86+L87+L88+L89+L90</f>
        <v>0.24340277777777775</v>
      </c>
      <c r="M85" s="292"/>
      <c r="N85" s="306"/>
      <c r="O85" s="306"/>
      <c r="P85" s="306"/>
      <c r="Q85" s="306"/>
      <c r="R85" s="306"/>
      <c r="S85" s="306"/>
      <c r="T85" s="525">
        <f>+AVERAGE(T86:T90)</f>
        <v>1</v>
      </c>
      <c r="U85" s="525">
        <f>+AVERAGE(U86:U90)</f>
        <v>0.71899999999999997</v>
      </c>
      <c r="V85" s="329">
        <f>+(V86+V87+V88+V89+V90)*E85</f>
        <v>0.09</v>
      </c>
      <c r="W85" s="329">
        <f>+(W86+W87+W88+W89+W90)*E85</f>
        <v>5.1209999999999992E-2</v>
      </c>
      <c r="X85" s="284">
        <f>+AVERAGE(X86:X90)</f>
        <v>0.44777777777777777</v>
      </c>
      <c r="Y85" s="284">
        <f>+AVERAGE(Y86:Y90)</f>
        <v>0.73169444444444454</v>
      </c>
      <c r="Z85" s="284">
        <f>+(Z86+Z87+Z88+Z89+Z90)*E85</f>
        <v>4.2475000000000006E-2</v>
      </c>
      <c r="AA85" s="284">
        <f>+(AA86+AA87+AA88+AA89+AA90)</f>
        <v>0.66731944444444447</v>
      </c>
      <c r="AB85" s="285"/>
      <c r="AC85" s="274"/>
      <c r="AD85" s="275"/>
      <c r="AE85" s="275"/>
      <c r="AF85" s="275"/>
    </row>
    <row r="86" spans="1:32" ht="122.4" customHeight="1" thickBot="1" x14ac:dyDescent="0.45">
      <c r="A86" s="276"/>
      <c r="B86" s="908" t="s">
        <v>488</v>
      </c>
      <c r="C86" s="909" t="s">
        <v>489</v>
      </c>
      <c r="D86" s="627" t="s">
        <v>490</v>
      </c>
      <c r="E86" s="286">
        <v>0.2</v>
      </c>
      <c r="F86" s="287">
        <v>1600</v>
      </c>
      <c r="G86" s="307">
        <v>400</v>
      </c>
      <c r="H86" s="308">
        <v>400</v>
      </c>
      <c r="I86" s="297">
        <f>+G86/F86</f>
        <v>0.25</v>
      </c>
      <c r="J86" s="297">
        <f t="shared" si="29"/>
        <v>0.25</v>
      </c>
      <c r="K86" s="298">
        <f>+(G86/F86)*E86</f>
        <v>0.05</v>
      </c>
      <c r="L86" s="298">
        <f t="shared" si="30"/>
        <v>0.05</v>
      </c>
      <c r="M86" s="292">
        <v>400</v>
      </c>
      <c r="N86" s="300">
        <v>225</v>
      </c>
      <c r="O86" s="293">
        <v>25</v>
      </c>
      <c r="P86" s="293">
        <v>0</v>
      </c>
      <c r="Q86" s="292"/>
      <c r="R86" s="292">
        <f t="shared" ref="R86:R90" si="49">+N86+O86+P86+Q86</f>
        <v>250</v>
      </c>
      <c r="S86" s="292">
        <f t="shared" ref="S86:S90" si="50">+R86+M86</f>
        <v>650</v>
      </c>
      <c r="T86" s="294">
        <f>+(M86/G86)</f>
        <v>1</v>
      </c>
      <c r="U86" s="295">
        <f t="shared" si="36"/>
        <v>0.625</v>
      </c>
      <c r="V86" s="295">
        <f>+T86*E86</f>
        <v>0.2</v>
      </c>
      <c r="W86" s="295">
        <f>+U86*E86</f>
        <v>0.125</v>
      </c>
      <c r="X86" s="295">
        <f>+M86/F86</f>
        <v>0.25</v>
      </c>
      <c r="Y86" s="295">
        <f t="shared" si="32"/>
        <v>0.40625</v>
      </c>
      <c r="Z86" s="295">
        <f>+X86*E86</f>
        <v>0.05</v>
      </c>
      <c r="AA86" s="295">
        <f>+Y86*E86</f>
        <v>8.1250000000000003E-2</v>
      </c>
      <c r="AB86" s="296" t="s">
        <v>1775</v>
      </c>
      <c r="AC86" s="655" t="s">
        <v>1799</v>
      </c>
      <c r="AD86" s="272"/>
      <c r="AE86" s="605" t="s">
        <v>1867</v>
      </c>
      <c r="AF86" s="602" t="s">
        <v>1897</v>
      </c>
    </row>
    <row r="87" spans="1:32" ht="114.6" customHeight="1" thickBot="1" x14ac:dyDescent="0.45">
      <c r="A87" s="276"/>
      <c r="B87" s="908" t="s">
        <v>491</v>
      </c>
      <c r="C87" s="909" t="s">
        <v>492</v>
      </c>
      <c r="D87" s="625" t="s">
        <v>490</v>
      </c>
      <c r="E87" s="319">
        <v>0.2</v>
      </c>
      <c r="F87" s="287">
        <v>400</v>
      </c>
      <c r="G87" s="307">
        <v>200</v>
      </c>
      <c r="H87" s="308">
        <v>100</v>
      </c>
      <c r="I87" s="297">
        <f>+G87/F87</f>
        <v>0.5</v>
      </c>
      <c r="J87" s="297">
        <f t="shared" si="29"/>
        <v>0.25</v>
      </c>
      <c r="K87" s="298">
        <f>+(G87/F87)*E87</f>
        <v>0.1</v>
      </c>
      <c r="L87" s="298">
        <f t="shared" si="30"/>
        <v>0.05</v>
      </c>
      <c r="M87" s="292">
        <v>200</v>
      </c>
      <c r="N87" s="300">
        <v>0</v>
      </c>
      <c r="O87" s="293">
        <v>74</v>
      </c>
      <c r="P87" s="293">
        <v>23</v>
      </c>
      <c r="Q87" s="292"/>
      <c r="R87" s="292">
        <f t="shared" si="49"/>
        <v>97</v>
      </c>
      <c r="S87" s="292">
        <f t="shared" si="50"/>
        <v>297</v>
      </c>
      <c r="T87" s="294">
        <f>+(M87/G87)</f>
        <v>1</v>
      </c>
      <c r="U87" s="295">
        <f t="shared" si="36"/>
        <v>0.97</v>
      </c>
      <c r="V87" s="295">
        <f>+T87*E87</f>
        <v>0.2</v>
      </c>
      <c r="W87" s="295">
        <f t="shared" si="31"/>
        <v>0.19400000000000001</v>
      </c>
      <c r="X87" s="295">
        <f>+M87/F87</f>
        <v>0.5</v>
      </c>
      <c r="Y87" s="295">
        <f t="shared" si="32"/>
        <v>0.74250000000000005</v>
      </c>
      <c r="Z87" s="295">
        <f>+X87*E87</f>
        <v>0.1</v>
      </c>
      <c r="AA87" s="295">
        <f>+Y87*E87</f>
        <v>0.14850000000000002</v>
      </c>
      <c r="AB87" s="296" t="s">
        <v>1775</v>
      </c>
      <c r="AC87" s="655" t="s">
        <v>1799</v>
      </c>
      <c r="AD87" s="272"/>
      <c r="AE87" s="605" t="s">
        <v>1867</v>
      </c>
      <c r="AF87" s="602" t="s">
        <v>1897</v>
      </c>
    </row>
    <row r="88" spans="1:32" ht="98.4" customHeight="1" thickBot="1" x14ac:dyDescent="0.45">
      <c r="A88" s="276"/>
      <c r="B88" s="908" t="s">
        <v>493</v>
      </c>
      <c r="C88" s="909" t="s">
        <v>494</v>
      </c>
      <c r="D88" s="625" t="s">
        <v>490</v>
      </c>
      <c r="E88" s="319">
        <v>0.15</v>
      </c>
      <c r="F88" s="320">
        <v>240</v>
      </c>
      <c r="G88" s="307">
        <v>65</v>
      </c>
      <c r="H88" s="308">
        <v>65</v>
      </c>
      <c r="I88" s="297">
        <f>+G88/F88</f>
        <v>0.27083333333333331</v>
      </c>
      <c r="J88" s="297">
        <f t="shared" si="29"/>
        <v>0.27083333333333331</v>
      </c>
      <c r="K88" s="298">
        <f>+(G88/F88)*E88</f>
        <v>4.0624999999999994E-2</v>
      </c>
      <c r="L88" s="298">
        <f t="shared" si="30"/>
        <v>4.0624999999999994E-2</v>
      </c>
      <c r="M88" s="292">
        <v>164</v>
      </c>
      <c r="N88" s="300">
        <v>50</v>
      </c>
      <c r="O88" s="293">
        <v>15</v>
      </c>
      <c r="P88" s="293">
        <v>0</v>
      </c>
      <c r="Q88" s="292"/>
      <c r="R88" s="292">
        <f t="shared" si="49"/>
        <v>65</v>
      </c>
      <c r="S88" s="292">
        <f t="shared" si="50"/>
        <v>229</v>
      </c>
      <c r="T88" s="294">
        <v>1</v>
      </c>
      <c r="U88" s="295">
        <f t="shared" si="36"/>
        <v>1</v>
      </c>
      <c r="V88" s="295">
        <f>+T88*E88</f>
        <v>0.15</v>
      </c>
      <c r="W88" s="295">
        <f t="shared" si="31"/>
        <v>0.15</v>
      </c>
      <c r="X88" s="295">
        <f>+M88/F88</f>
        <v>0.68333333333333335</v>
      </c>
      <c r="Y88" s="295">
        <f t="shared" si="32"/>
        <v>0.95416666666666672</v>
      </c>
      <c r="Z88" s="295">
        <f>+X88*E88</f>
        <v>0.10249999999999999</v>
      </c>
      <c r="AA88" s="295">
        <f>+Y88*E88</f>
        <v>0.143125</v>
      </c>
      <c r="AB88" s="296" t="s">
        <v>1775</v>
      </c>
      <c r="AC88" s="655" t="s">
        <v>1799</v>
      </c>
      <c r="AD88" s="272"/>
      <c r="AE88" s="605" t="s">
        <v>1867</v>
      </c>
      <c r="AF88" s="602" t="s">
        <v>1897</v>
      </c>
    </row>
    <row r="89" spans="1:32" ht="106.2" customHeight="1" thickBot="1" x14ac:dyDescent="0.45">
      <c r="A89" s="276"/>
      <c r="B89" s="910" t="s">
        <v>495</v>
      </c>
      <c r="C89" s="911" t="s">
        <v>496</v>
      </c>
      <c r="D89" s="487" t="s">
        <v>490</v>
      </c>
      <c r="E89" s="321">
        <v>0.1</v>
      </c>
      <c r="F89" s="320">
        <v>200</v>
      </c>
      <c r="G89" s="307">
        <v>50</v>
      </c>
      <c r="H89" s="308">
        <v>50</v>
      </c>
      <c r="I89" s="297">
        <f>+G89/F89</f>
        <v>0.25</v>
      </c>
      <c r="J89" s="297">
        <f t="shared" si="29"/>
        <v>0.25</v>
      </c>
      <c r="K89" s="298">
        <f>+(G89/F89)*E89</f>
        <v>2.5000000000000001E-2</v>
      </c>
      <c r="L89" s="298">
        <f t="shared" si="30"/>
        <v>2.5000000000000001E-2</v>
      </c>
      <c r="M89" s="292">
        <v>50</v>
      </c>
      <c r="N89" s="300">
        <v>43</v>
      </c>
      <c r="O89" s="293">
        <v>7</v>
      </c>
      <c r="P89" s="293">
        <v>0</v>
      </c>
      <c r="Q89" s="292"/>
      <c r="R89" s="292">
        <f t="shared" si="49"/>
        <v>50</v>
      </c>
      <c r="S89" s="292">
        <f>+R89+M89</f>
        <v>100</v>
      </c>
      <c r="T89" s="294">
        <v>1</v>
      </c>
      <c r="U89" s="295">
        <f t="shared" si="36"/>
        <v>1</v>
      </c>
      <c r="V89" s="295">
        <f>+T89*E89</f>
        <v>0.1</v>
      </c>
      <c r="W89" s="295">
        <f t="shared" si="31"/>
        <v>0.1</v>
      </c>
      <c r="X89" s="295">
        <f>+M89/F89</f>
        <v>0.25</v>
      </c>
      <c r="Y89" s="295">
        <v>1</v>
      </c>
      <c r="Z89" s="295">
        <f>+X89*E89</f>
        <v>2.5000000000000001E-2</v>
      </c>
      <c r="AA89" s="295">
        <f>+Y89*E89</f>
        <v>0.1</v>
      </c>
      <c r="AB89" s="296" t="s">
        <v>1775</v>
      </c>
      <c r="AC89" s="655" t="s">
        <v>1832</v>
      </c>
      <c r="AD89" s="272"/>
      <c r="AE89" s="605" t="s">
        <v>1867</v>
      </c>
      <c r="AF89" s="602" t="s">
        <v>1897</v>
      </c>
    </row>
    <row r="90" spans="1:32" ht="98.4" customHeight="1" thickBot="1" x14ac:dyDescent="0.45">
      <c r="A90" s="276"/>
      <c r="B90" s="905" t="s">
        <v>497</v>
      </c>
      <c r="C90" s="906" t="s">
        <v>498</v>
      </c>
      <c r="D90" s="628" t="s">
        <v>490</v>
      </c>
      <c r="E90" s="788">
        <v>0.35</v>
      </c>
      <c r="F90" s="287">
        <v>9</v>
      </c>
      <c r="G90" s="307">
        <v>5</v>
      </c>
      <c r="H90" s="308">
        <v>2</v>
      </c>
      <c r="I90" s="297">
        <f>+G90/F90</f>
        <v>0.55555555555555558</v>
      </c>
      <c r="J90" s="297">
        <f t="shared" si="29"/>
        <v>0.22222222222222221</v>
      </c>
      <c r="K90" s="298">
        <f>+(G90/F90)*E90</f>
        <v>0.19444444444444445</v>
      </c>
      <c r="L90" s="298">
        <f t="shared" si="30"/>
        <v>7.7777777777777765E-2</v>
      </c>
      <c r="M90" s="292">
        <v>5</v>
      </c>
      <c r="N90" s="300">
        <v>0</v>
      </c>
      <c r="O90" s="293">
        <v>0</v>
      </c>
      <c r="P90" s="293">
        <v>0</v>
      </c>
      <c r="Q90" s="292"/>
      <c r="R90" s="292">
        <f t="shared" si="49"/>
        <v>0</v>
      </c>
      <c r="S90" s="292">
        <f t="shared" si="50"/>
        <v>5</v>
      </c>
      <c r="T90" s="294">
        <f>+(M90/G90)</f>
        <v>1</v>
      </c>
      <c r="U90" s="295">
        <f t="shared" si="36"/>
        <v>0</v>
      </c>
      <c r="V90" s="295">
        <f>+T90*E90</f>
        <v>0.35</v>
      </c>
      <c r="W90" s="295">
        <f t="shared" si="31"/>
        <v>0</v>
      </c>
      <c r="X90" s="295">
        <f>+M90/F90</f>
        <v>0.55555555555555558</v>
      </c>
      <c r="Y90" s="295">
        <f t="shared" si="32"/>
        <v>0.55555555555555558</v>
      </c>
      <c r="Z90" s="295">
        <f>+X90*E90</f>
        <v>0.19444444444444445</v>
      </c>
      <c r="AA90" s="295">
        <f>+Y90*E90</f>
        <v>0.19444444444444445</v>
      </c>
      <c r="AB90" s="296" t="s">
        <v>1775</v>
      </c>
      <c r="AC90" s="655" t="s">
        <v>1799</v>
      </c>
      <c r="AD90" s="272"/>
      <c r="AE90" s="605" t="s">
        <v>1867</v>
      </c>
      <c r="AF90" s="602" t="s">
        <v>1897</v>
      </c>
    </row>
    <row r="91" spans="1:32" ht="122.4" customHeight="1" thickBot="1" x14ac:dyDescent="0.45">
      <c r="A91" s="276"/>
      <c r="B91" s="960" t="s">
        <v>1584</v>
      </c>
      <c r="C91" s="956"/>
      <c r="D91" s="322"/>
      <c r="E91" s="323">
        <v>0.1</v>
      </c>
      <c r="F91" s="324">
        <f>+E91*V91</f>
        <v>3.9149999999999997E-2</v>
      </c>
      <c r="G91" s="303"/>
      <c r="H91" s="278">
        <f>+E91*W91</f>
        <v>1.1076227272727272E-2</v>
      </c>
      <c r="I91" s="325">
        <f>+(I92+I101+I106)/3</f>
        <v>0.36897145335135689</v>
      </c>
      <c r="J91" s="325">
        <f>+(J92+J101+J106)/3</f>
        <v>0.37316486001714971</v>
      </c>
      <c r="K91" s="326">
        <f>+(K92+K101+K106)/3</f>
        <v>0.13546025296319508</v>
      </c>
      <c r="L91" s="326">
        <f>+(L92+L101+L106)/3</f>
        <v>0.19876656861431621</v>
      </c>
      <c r="M91" s="519"/>
      <c r="N91" s="327"/>
      <c r="O91" s="327"/>
      <c r="P91" s="327"/>
      <c r="Q91" s="327"/>
      <c r="R91" s="327"/>
      <c r="S91" s="327"/>
      <c r="T91" s="328">
        <f>+(T92+T101+T106)/3</f>
        <v>0.8396825396825397</v>
      </c>
      <c r="U91" s="328">
        <f>+(U92+U101+U106)/3</f>
        <v>0.23742231842231842</v>
      </c>
      <c r="V91" s="279">
        <f>+V92+V101+V106</f>
        <v>0.39149999999999996</v>
      </c>
      <c r="W91" s="279">
        <f>+W92+W101+W106</f>
        <v>0.11076227272727272</v>
      </c>
      <c r="X91" s="280">
        <f>(X92+X101+X106)/3</f>
        <v>0.12107490645604667</v>
      </c>
      <c r="Y91" s="280">
        <f>(Y92+Y101+Y106)/3</f>
        <v>0.23069545861234356</v>
      </c>
      <c r="Z91" s="279">
        <f>(Z92+Z101+Z106)</f>
        <v>0.1147193821346188</v>
      </c>
      <c r="AA91" s="279">
        <f>(AA92*E92)+(AA101*E101)+(AA106*E106)</f>
        <v>0.2446746111848862</v>
      </c>
      <c r="AB91" s="281"/>
      <c r="AC91" s="271"/>
      <c r="AD91" s="272"/>
      <c r="AE91" s="272"/>
      <c r="AF91" s="272"/>
    </row>
    <row r="92" spans="1:32" ht="122.4" customHeight="1" thickBot="1" x14ac:dyDescent="0.45">
      <c r="A92" s="276"/>
      <c r="B92" s="955" t="s">
        <v>1585</v>
      </c>
      <c r="C92" s="957"/>
      <c r="D92" s="636"/>
      <c r="E92" s="282">
        <v>0.35</v>
      </c>
      <c r="F92" s="302"/>
      <c r="G92" s="303"/>
      <c r="H92" s="283"/>
      <c r="I92" s="304">
        <f>+AVERAGE(I93:I100)</f>
        <v>0.36703340767311832</v>
      </c>
      <c r="J92" s="304">
        <f>+AVERAGE(J93:J100)</f>
        <v>0.21758981814668724</v>
      </c>
      <c r="K92" s="305">
        <f>+K93+K94+K95+K96+K97+K98+K99+K100</f>
        <v>0.19522004460387099</v>
      </c>
      <c r="L92" s="305">
        <f>+L93+L94+L95+L96+L97+L98+L99+L100</f>
        <v>0.17639494393818686</v>
      </c>
      <c r="M92" s="292"/>
      <c r="N92" s="306"/>
      <c r="O92" s="306"/>
      <c r="P92" s="306"/>
      <c r="Q92" s="306"/>
      <c r="R92" s="306"/>
      <c r="S92" s="306"/>
      <c r="T92" s="525">
        <f>+AVERAGE(T93:T100)</f>
        <v>1</v>
      </c>
      <c r="U92" s="753">
        <f>+AVERAGE(U93:U100)</f>
        <v>0.2016103896103896</v>
      </c>
      <c r="V92" s="329">
        <f>+(V93+V94+V95+V96+V97+V98+V99+V100)*E92</f>
        <v>0.17499999999999996</v>
      </c>
      <c r="W92" s="329">
        <f>+(W93+W94+W95+W96+W97+W98+W99+W100)*E92</f>
        <v>4.784181818181818E-2</v>
      </c>
      <c r="X92" s="329">
        <f>+AVERAGE(X93:X100)</f>
        <v>0.1583199574633781</v>
      </c>
      <c r="Y92" s="329">
        <f>+AVERAGE(Y93:Y100)</f>
        <v>0.38470145520211008</v>
      </c>
      <c r="Z92" s="329">
        <f>+(Z93+Z94+Z95+Z96+Z97+Z98+Z99+Z100)*E92</f>
        <v>5.7744382134618799E-2</v>
      </c>
      <c r="AA92" s="329">
        <f>+(AA93+AA94+AA95+AA96+AA97+AA98+AA99+AA100)</f>
        <v>0.41789174624253211</v>
      </c>
      <c r="AB92" s="285"/>
      <c r="AC92" s="588"/>
      <c r="AD92" s="272"/>
      <c r="AE92" s="272"/>
      <c r="AF92" s="272"/>
    </row>
    <row r="93" spans="1:32" ht="122.4" customHeight="1" thickBot="1" x14ac:dyDescent="0.45">
      <c r="A93" s="276"/>
      <c r="B93" s="897" t="s">
        <v>499</v>
      </c>
      <c r="C93" s="893" t="s">
        <v>500</v>
      </c>
      <c r="D93" s="330" t="s">
        <v>501</v>
      </c>
      <c r="E93" s="315">
        <v>0.15</v>
      </c>
      <c r="F93" s="287">
        <v>7190</v>
      </c>
      <c r="G93" s="307">
        <v>515</v>
      </c>
      <c r="H93" s="308">
        <v>427</v>
      </c>
      <c r="I93" s="297"/>
      <c r="J93" s="297">
        <f t="shared" ref="J93:J118" si="51">+H93/F93</f>
        <v>5.9388038942976354E-2</v>
      </c>
      <c r="K93" s="298"/>
      <c r="L93" s="298">
        <f t="shared" ref="L93:L118" si="52">+(H93/F93)*E93</f>
        <v>8.9082058414464531E-3</v>
      </c>
      <c r="M93" s="292">
        <v>6737</v>
      </c>
      <c r="N93" s="300">
        <v>0</v>
      </c>
      <c r="O93" s="293">
        <v>0</v>
      </c>
      <c r="P93" s="293">
        <v>0</v>
      </c>
      <c r="Q93" s="292"/>
      <c r="R93" s="292">
        <f t="shared" ref="R93:R99" si="53">+N93+O93+P93+Q93</f>
        <v>0</v>
      </c>
      <c r="S93" s="292">
        <f t="shared" ref="S93:S99" si="54">+R93+M93</f>
        <v>6737</v>
      </c>
      <c r="T93" s="294"/>
      <c r="U93" s="295">
        <f t="shared" ref="U93:U118" si="55">+R93/H93</f>
        <v>0</v>
      </c>
      <c r="V93" s="295"/>
      <c r="W93" s="295">
        <f t="shared" ref="W93:W118" si="56">+U93*E93</f>
        <v>0</v>
      </c>
      <c r="X93" s="295">
        <v>0</v>
      </c>
      <c r="Y93" s="295">
        <f t="shared" ref="Y93:Y118" si="57">+S93/F93</f>
        <v>0.93699582753824762</v>
      </c>
      <c r="Z93" s="295">
        <f>+X93*E93</f>
        <v>0</v>
      </c>
      <c r="AA93" s="295">
        <f>+Y93*E93</f>
        <v>0.14054937413073715</v>
      </c>
      <c r="AB93" s="592" t="s">
        <v>1775</v>
      </c>
      <c r="AC93" s="655" t="s">
        <v>1799</v>
      </c>
      <c r="AD93" s="655" t="s">
        <v>1860</v>
      </c>
      <c r="AE93" s="604" t="s">
        <v>1878</v>
      </c>
      <c r="AF93" s="604" t="s">
        <v>1895</v>
      </c>
    </row>
    <row r="94" spans="1:32" ht="122.4" customHeight="1" thickBot="1" x14ac:dyDescent="0.45">
      <c r="A94" s="276"/>
      <c r="B94" s="897" t="s">
        <v>502</v>
      </c>
      <c r="C94" s="893" t="s">
        <v>503</v>
      </c>
      <c r="D94" s="331" t="s">
        <v>501</v>
      </c>
      <c r="E94" s="286">
        <v>0.1</v>
      </c>
      <c r="F94" s="287">
        <v>9</v>
      </c>
      <c r="G94" s="307">
        <v>0</v>
      </c>
      <c r="H94" s="308">
        <v>3</v>
      </c>
      <c r="I94" s="297"/>
      <c r="J94" s="297">
        <f t="shared" si="51"/>
        <v>0.33333333333333331</v>
      </c>
      <c r="K94" s="298"/>
      <c r="L94" s="298">
        <f t="shared" si="52"/>
        <v>3.3333333333333333E-2</v>
      </c>
      <c r="M94" s="292"/>
      <c r="N94" s="300">
        <v>0</v>
      </c>
      <c r="O94" s="293">
        <v>0</v>
      </c>
      <c r="P94" s="293">
        <v>0</v>
      </c>
      <c r="Q94" s="292"/>
      <c r="R94" s="292">
        <f t="shared" si="53"/>
        <v>0</v>
      </c>
      <c r="S94" s="292">
        <f t="shared" si="54"/>
        <v>0</v>
      </c>
      <c r="T94" s="294"/>
      <c r="U94" s="295">
        <f t="shared" si="55"/>
        <v>0</v>
      </c>
      <c r="V94" s="295"/>
      <c r="W94" s="295">
        <f t="shared" si="56"/>
        <v>0</v>
      </c>
      <c r="X94" s="295">
        <v>0</v>
      </c>
      <c r="Y94" s="295">
        <f t="shared" si="57"/>
        <v>0</v>
      </c>
      <c r="Z94" s="295"/>
      <c r="AA94" s="295">
        <f t="shared" ref="AA94:AA100" si="58">+Y94*E94</f>
        <v>0</v>
      </c>
      <c r="AB94" s="296" t="s">
        <v>1775</v>
      </c>
      <c r="AC94" s="655" t="s">
        <v>1799</v>
      </c>
      <c r="AD94" s="655" t="s">
        <v>1860</v>
      </c>
      <c r="AE94" s="605" t="s">
        <v>1867</v>
      </c>
      <c r="AF94" s="602" t="s">
        <v>1897</v>
      </c>
    </row>
    <row r="95" spans="1:32" ht="122.4" customHeight="1" thickBot="1" x14ac:dyDescent="0.45">
      <c r="A95" s="276"/>
      <c r="B95" s="897" t="s">
        <v>504</v>
      </c>
      <c r="C95" s="893" t="s">
        <v>505</v>
      </c>
      <c r="D95" s="637" t="s">
        <v>501</v>
      </c>
      <c r="E95" s="286">
        <v>0.15</v>
      </c>
      <c r="F95" s="287">
        <v>6</v>
      </c>
      <c r="G95" s="307">
        <v>4</v>
      </c>
      <c r="H95" s="308">
        <v>0</v>
      </c>
      <c r="I95" s="297">
        <f>+G95/F95</f>
        <v>0.66666666666666663</v>
      </c>
      <c r="J95" s="297">
        <f t="shared" si="51"/>
        <v>0</v>
      </c>
      <c r="K95" s="298">
        <f>+(G95/F95)*E95</f>
        <v>9.9999999999999992E-2</v>
      </c>
      <c r="L95" s="298">
        <f t="shared" si="52"/>
        <v>0</v>
      </c>
      <c r="M95" s="292">
        <v>5</v>
      </c>
      <c r="N95" s="300"/>
      <c r="O95" s="293"/>
      <c r="P95" s="292"/>
      <c r="Q95" s="292"/>
      <c r="R95" s="292">
        <f t="shared" si="53"/>
        <v>0</v>
      </c>
      <c r="S95" s="292">
        <f t="shared" si="54"/>
        <v>5</v>
      </c>
      <c r="T95" s="294">
        <v>1</v>
      </c>
      <c r="U95" s="295"/>
      <c r="V95" s="295">
        <f>+T95*E95</f>
        <v>0.15</v>
      </c>
      <c r="W95" s="295"/>
      <c r="X95" s="295">
        <f>+M95/F95</f>
        <v>0.83333333333333337</v>
      </c>
      <c r="Y95" s="295">
        <f t="shared" si="57"/>
        <v>0.83333333333333337</v>
      </c>
      <c r="Z95" s="295">
        <f>+X95*E95</f>
        <v>0.125</v>
      </c>
      <c r="AA95" s="295">
        <f t="shared" si="58"/>
        <v>0.125</v>
      </c>
      <c r="AB95" s="296" t="s">
        <v>1775</v>
      </c>
      <c r="AC95" s="655" t="s">
        <v>1799</v>
      </c>
      <c r="AD95" s="655" t="s">
        <v>1860</v>
      </c>
      <c r="AE95" s="605" t="s">
        <v>1867</v>
      </c>
      <c r="AF95" s="602" t="s">
        <v>1897</v>
      </c>
    </row>
    <row r="96" spans="1:32" ht="122.4" customHeight="1" thickBot="1" x14ac:dyDescent="0.45">
      <c r="A96" s="276"/>
      <c r="B96" s="896" t="s">
        <v>506</v>
      </c>
      <c r="C96" s="894" t="s">
        <v>507</v>
      </c>
      <c r="D96" s="331" t="s">
        <v>501</v>
      </c>
      <c r="E96" s="286">
        <v>0.15</v>
      </c>
      <c r="F96" s="287">
        <v>448800</v>
      </c>
      <c r="G96" s="307">
        <v>65000</v>
      </c>
      <c r="H96" s="308">
        <v>110000</v>
      </c>
      <c r="I96" s="297">
        <f>+G96/F96</f>
        <v>0.14483065953654189</v>
      </c>
      <c r="J96" s="297">
        <f t="shared" si="51"/>
        <v>0.24509803921568626</v>
      </c>
      <c r="K96" s="298">
        <f>+(G96/F96)*E96</f>
        <v>2.1724598930481284E-2</v>
      </c>
      <c r="L96" s="298">
        <f t="shared" si="52"/>
        <v>3.6764705882352935E-2</v>
      </c>
      <c r="M96" s="292">
        <v>79458</v>
      </c>
      <c r="N96" s="300">
        <v>24490</v>
      </c>
      <c r="O96" s="293">
        <v>26060</v>
      </c>
      <c r="P96" s="292">
        <v>22190</v>
      </c>
      <c r="Q96" s="292"/>
      <c r="R96" s="292">
        <f t="shared" si="53"/>
        <v>72740</v>
      </c>
      <c r="S96" s="292">
        <f t="shared" si="54"/>
        <v>152198</v>
      </c>
      <c r="T96" s="294">
        <v>1</v>
      </c>
      <c r="U96" s="295">
        <f t="shared" si="55"/>
        <v>0.66127272727272723</v>
      </c>
      <c r="V96" s="295">
        <f>+T96*E96</f>
        <v>0.15</v>
      </c>
      <c r="W96" s="295">
        <f t="shared" si="56"/>
        <v>9.919090909090908E-2</v>
      </c>
      <c r="X96" s="295">
        <f>+M96/F96</f>
        <v>0.17704545454545453</v>
      </c>
      <c r="Y96" s="295">
        <f t="shared" si="57"/>
        <v>0.33912210338680926</v>
      </c>
      <c r="Z96" s="295">
        <f>+X96*E96</f>
        <v>2.6556818181818178E-2</v>
      </c>
      <c r="AA96" s="295">
        <f t="shared" si="58"/>
        <v>5.0868315508021386E-2</v>
      </c>
      <c r="AB96" s="296" t="s">
        <v>1775</v>
      </c>
      <c r="AC96" s="655" t="s">
        <v>1799</v>
      </c>
      <c r="AD96" s="655" t="s">
        <v>1860</v>
      </c>
      <c r="AE96" s="605" t="s">
        <v>1867</v>
      </c>
      <c r="AF96" s="602" t="s">
        <v>1897</v>
      </c>
    </row>
    <row r="97" spans="1:32" ht="122.4" customHeight="1" thickBot="1" x14ac:dyDescent="0.45">
      <c r="A97" s="276"/>
      <c r="B97" s="897" t="s">
        <v>508</v>
      </c>
      <c r="C97" s="893" t="s">
        <v>509</v>
      </c>
      <c r="D97" s="637" t="s">
        <v>501</v>
      </c>
      <c r="E97" s="286">
        <v>0.15</v>
      </c>
      <c r="F97" s="287">
        <v>12296</v>
      </c>
      <c r="G97" s="307">
        <v>5000</v>
      </c>
      <c r="H97" s="308">
        <v>4000</v>
      </c>
      <c r="I97" s="297">
        <f>+G97/F97</f>
        <v>0.4066363044892648</v>
      </c>
      <c r="J97" s="297">
        <f t="shared" si="51"/>
        <v>0.32530904359141183</v>
      </c>
      <c r="K97" s="298">
        <f>+(G97/F97)*E97</f>
        <v>6.0995445673389714E-2</v>
      </c>
      <c r="L97" s="298">
        <f t="shared" si="52"/>
        <v>4.8796356538711776E-2</v>
      </c>
      <c r="M97" s="292">
        <v>76</v>
      </c>
      <c r="N97" s="300">
        <v>0</v>
      </c>
      <c r="O97" s="293">
        <v>0</v>
      </c>
      <c r="P97" s="292"/>
      <c r="Q97" s="292"/>
      <c r="R97" s="292">
        <f t="shared" si="53"/>
        <v>0</v>
      </c>
      <c r="S97" s="292">
        <f>+R97+M97</f>
        <v>76</v>
      </c>
      <c r="T97" s="294">
        <v>1</v>
      </c>
      <c r="U97" s="295">
        <f t="shared" si="55"/>
        <v>0</v>
      </c>
      <c r="V97" s="295">
        <f>+T97*E97</f>
        <v>0.15</v>
      </c>
      <c r="W97" s="295">
        <f t="shared" si="56"/>
        <v>0</v>
      </c>
      <c r="X97" s="295">
        <f>+M97/F97</f>
        <v>6.1808718282368247E-3</v>
      </c>
      <c r="Y97" s="295">
        <f>+(S97+6449)/F97</f>
        <v>0.53066037735849059</v>
      </c>
      <c r="Z97" s="295">
        <f>+X97*E97</f>
        <v>9.2713077423552364E-4</v>
      </c>
      <c r="AA97" s="295">
        <f t="shared" si="58"/>
        <v>7.9599056603773588E-2</v>
      </c>
      <c r="AB97" s="296" t="s">
        <v>1775</v>
      </c>
      <c r="AC97" s="655" t="s">
        <v>1799</v>
      </c>
      <c r="AD97" s="655" t="s">
        <v>1860</v>
      </c>
      <c r="AE97" s="605" t="s">
        <v>1867</v>
      </c>
      <c r="AF97" s="602" t="s">
        <v>1897</v>
      </c>
    </row>
    <row r="98" spans="1:32" ht="122.4" customHeight="1" thickBot="1" x14ac:dyDescent="0.45">
      <c r="A98" s="276"/>
      <c r="B98" s="896" t="s">
        <v>510</v>
      </c>
      <c r="C98" s="894" t="s">
        <v>511</v>
      </c>
      <c r="D98" s="331" t="s">
        <v>501</v>
      </c>
      <c r="E98" s="286">
        <v>0.1</v>
      </c>
      <c r="F98" s="287">
        <v>592</v>
      </c>
      <c r="G98" s="307">
        <v>0</v>
      </c>
      <c r="H98" s="308">
        <v>115</v>
      </c>
      <c r="I98" s="297"/>
      <c r="J98" s="297">
        <f t="shared" si="51"/>
        <v>0.19425675675675674</v>
      </c>
      <c r="K98" s="298"/>
      <c r="L98" s="298">
        <f t="shared" si="52"/>
        <v>1.9425675675675675E-2</v>
      </c>
      <c r="M98" s="292"/>
      <c r="N98" s="300">
        <v>0</v>
      </c>
      <c r="O98" s="293">
        <v>0</v>
      </c>
      <c r="P98" s="292"/>
      <c r="Q98" s="292"/>
      <c r="R98" s="292">
        <f t="shared" si="53"/>
        <v>0</v>
      </c>
      <c r="S98" s="292">
        <f t="shared" si="54"/>
        <v>0</v>
      </c>
      <c r="T98" s="294"/>
      <c r="U98" s="295">
        <f t="shared" si="55"/>
        <v>0</v>
      </c>
      <c r="V98" s="295"/>
      <c r="W98" s="295">
        <f t="shared" si="56"/>
        <v>0</v>
      </c>
      <c r="X98" s="295">
        <v>0</v>
      </c>
      <c r="Y98" s="295">
        <f t="shared" si="57"/>
        <v>0</v>
      </c>
      <c r="Z98" s="295"/>
      <c r="AA98" s="295">
        <f t="shared" si="58"/>
        <v>0</v>
      </c>
      <c r="AB98" s="296" t="s">
        <v>1775</v>
      </c>
      <c r="AC98" s="604" t="s">
        <v>1810</v>
      </c>
      <c r="AD98" s="655" t="s">
        <v>1860</v>
      </c>
      <c r="AE98" s="605" t="s">
        <v>1867</v>
      </c>
      <c r="AF98" s="602" t="s">
        <v>1897</v>
      </c>
    </row>
    <row r="99" spans="1:32" ht="122.4" customHeight="1" thickBot="1" x14ac:dyDescent="0.45">
      <c r="A99" s="276"/>
      <c r="B99" s="896" t="s">
        <v>512</v>
      </c>
      <c r="C99" s="894" t="s">
        <v>513</v>
      </c>
      <c r="D99" s="331" t="s">
        <v>501</v>
      </c>
      <c r="E99" s="286">
        <v>0.05</v>
      </c>
      <c r="F99" s="287">
        <v>45</v>
      </c>
      <c r="G99" s="307">
        <v>0</v>
      </c>
      <c r="H99" s="308">
        <v>15</v>
      </c>
      <c r="I99" s="297"/>
      <c r="J99" s="297">
        <f t="shared" si="51"/>
        <v>0.33333333333333331</v>
      </c>
      <c r="K99" s="298"/>
      <c r="L99" s="298">
        <f t="shared" si="52"/>
        <v>1.6666666666666666E-2</v>
      </c>
      <c r="M99" s="292"/>
      <c r="N99" s="300"/>
      <c r="O99" s="293">
        <v>0</v>
      </c>
      <c r="P99" s="292"/>
      <c r="Q99" s="292"/>
      <c r="R99" s="292">
        <f t="shared" si="53"/>
        <v>0</v>
      </c>
      <c r="S99" s="292">
        <f t="shared" si="54"/>
        <v>0</v>
      </c>
      <c r="T99" s="294"/>
      <c r="U99" s="295">
        <f t="shared" si="55"/>
        <v>0</v>
      </c>
      <c r="V99" s="295"/>
      <c r="W99" s="295">
        <f t="shared" si="56"/>
        <v>0</v>
      </c>
      <c r="X99" s="295">
        <v>0</v>
      </c>
      <c r="Y99" s="295">
        <f t="shared" si="57"/>
        <v>0</v>
      </c>
      <c r="Z99" s="295"/>
      <c r="AA99" s="295">
        <f t="shared" si="58"/>
        <v>0</v>
      </c>
      <c r="AB99" s="296" t="s">
        <v>1775</v>
      </c>
      <c r="AC99" s="655" t="s">
        <v>1799</v>
      </c>
      <c r="AD99" s="655" t="s">
        <v>1860</v>
      </c>
      <c r="AE99" s="605" t="s">
        <v>1867</v>
      </c>
      <c r="AF99" s="602" t="s">
        <v>1897</v>
      </c>
    </row>
    <row r="100" spans="1:32" ht="262.2" customHeight="1" thickBot="1" x14ac:dyDescent="0.45">
      <c r="A100" s="276"/>
      <c r="B100" s="896" t="s">
        <v>514</v>
      </c>
      <c r="C100" s="894" t="s">
        <v>515</v>
      </c>
      <c r="D100" s="331" t="s">
        <v>516</v>
      </c>
      <c r="E100" s="286">
        <v>0.05</v>
      </c>
      <c r="F100" s="332">
        <f>699282*4</f>
        <v>2797128</v>
      </c>
      <c r="G100" s="307">
        <f>246152+171307+281823</f>
        <v>699282</v>
      </c>
      <c r="H100" s="308">
        <v>699282</v>
      </c>
      <c r="I100" s="297">
        <f>+G100/F100</f>
        <v>0.25</v>
      </c>
      <c r="J100" s="297">
        <f t="shared" si="51"/>
        <v>0.25</v>
      </c>
      <c r="K100" s="298">
        <f>+(G100/F100)*E100</f>
        <v>1.2500000000000001E-2</v>
      </c>
      <c r="L100" s="298">
        <f t="shared" si="52"/>
        <v>1.2500000000000001E-2</v>
      </c>
      <c r="M100" s="292">
        <f>246152+171307+281823</f>
        <v>699282</v>
      </c>
      <c r="N100" s="300">
        <v>174820.5</v>
      </c>
      <c r="O100" s="300">
        <v>174820.5</v>
      </c>
      <c r="P100" s="300">
        <v>174820.5</v>
      </c>
      <c r="Q100" s="292"/>
      <c r="R100" s="299">
        <f>+N100+O100+P100+Q100</f>
        <v>524461.5</v>
      </c>
      <c r="S100" s="299">
        <f>+R100+M100</f>
        <v>1223743.5</v>
      </c>
      <c r="T100" s="294">
        <f>+(M100/G100)</f>
        <v>1</v>
      </c>
      <c r="U100" s="295">
        <v>0.75</v>
      </c>
      <c r="V100" s="295">
        <f>+T100*E100</f>
        <v>0.05</v>
      </c>
      <c r="W100" s="295">
        <f t="shared" si="56"/>
        <v>3.7500000000000006E-2</v>
      </c>
      <c r="X100" s="295">
        <f>+M100/F100</f>
        <v>0.25</v>
      </c>
      <c r="Y100" s="301">
        <f>+S100/F100</f>
        <v>0.4375</v>
      </c>
      <c r="Z100" s="295">
        <f>+X100*E100</f>
        <v>1.2500000000000001E-2</v>
      </c>
      <c r="AA100" s="295">
        <f t="shared" si="58"/>
        <v>2.1875000000000002E-2</v>
      </c>
      <c r="AB100" s="296" t="s">
        <v>1775</v>
      </c>
      <c r="AC100" s="604" t="s">
        <v>1826</v>
      </c>
      <c r="AD100" s="655" t="s">
        <v>1860</v>
      </c>
      <c r="AE100" s="605" t="s">
        <v>1867</v>
      </c>
      <c r="AF100" s="602" t="s">
        <v>1897</v>
      </c>
    </row>
    <row r="101" spans="1:32" ht="122.4" customHeight="1" thickBot="1" x14ac:dyDescent="0.45">
      <c r="A101" s="276"/>
      <c r="B101" s="955" t="s">
        <v>1586</v>
      </c>
      <c r="C101" s="957"/>
      <c r="D101" s="331"/>
      <c r="E101" s="282">
        <v>0.35</v>
      </c>
      <c r="F101" s="287"/>
      <c r="G101" s="307"/>
      <c r="H101" s="308"/>
      <c r="I101" s="304">
        <f>+AVERAGE(I102:I105)</f>
        <v>0.11488095238095238</v>
      </c>
      <c r="J101" s="304">
        <f>+AVERAGE(J102:J105)</f>
        <v>0.27142857142857141</v>
      </c>
      <c r="K101" s="305">
        <f>+K102+K103+K104+K105</f>
        <v>8.6160714285714285E-2</v>
      </c>
      <c r="L101" s="305">
        <f>+L102+L103+L104+L105</f>
        <v>0.20357142857142857</v>
      </c>
      <c r="M101" s="292"/>
      <c r="N101" s="306"/>
      <c r="O101" s="306"/>
      <c r="P101" s="306"/>
      <c r="Q101" s="306"/>
      <c r="R101" s="306"/>
      <c r="S101" s="306"/>
      <c r="T101" s="525">
        <f>+AVERAGE(T102:T105)</f>
        <v>0.61904761904761907</v>
      </c>
      <c r="U101" s="525">
        <f>+AVERAGE(U102:U105)</f>
        <v>0.23969696969696971</v>
      </c>
      <c r="V101" s="329">
        <f>+(V102+V103+V104+V105)*E101</f>
        <v>0.16250000000000001</v>
      </c>
      <c r="W101" s="329">
        <f>+(W102+W103+W104+W105)*E101</f>
        <v>6.2920454545454543E-2</v>
      </c>
      <c r="X101" s="284">
        <f>+AVERAGE(X102:X105)</f>
        <v>7.9904761904761909E-2</v>
      </c>
      <c r="Y101" s="284">
        <f>+X101+((Y102-X102)/4)+ ((Y103-X103)/7)+((Y104-X104)/4)</f>
        <v>0.15044047619047618</v>
      </c>
      <c r="Z101" s="284">
        <f>+(Z102+Z103+Z104+Z105)*E101</f>
        <v>2.0974999999999997E-2</v>
      </c>
      <c r="AA101" s="284">
        <f>+(AA102+AA103+AA104+AA105)</f>
        <v>0.1304642857142857</v>
      </c>
      <c r="AB101" s="285"/>
      <c r="AC101" s="271"/>
      <c r="AD101" s="272"/>
      <c r="AE101" s="272"/>
      <c r="AF101" s="272"/>
    </row>
    <row r="102" spans="1:32" ht="122.4" customHeight="1" thickBot="1" x14ac:dyDescent="0.45">
      <c r="A102" s="276"/>
      <c r="B102" s="896" t="s">
        <v>517</v>
      </c>
      <c r="C102" s="894" t="s">
        <v>518</v>
      </c>
      <c r="D102" s="637" t="s">
        <v>501</v>
      </c>
      <c r="E102" s="286">
        <v>0.25</v>
      </c>
      <c r="F102" s="287">
        <v>7000</v>
      </c>
      <c r="G102" s="307">
        <v>400</v>
      </c>
      <c r="H102" s="308">
        <v>2200</v>
      </c>
      <c r="I102" s="297">
        <f>+G102/F102</f>
        <v>5.7142857142857141E-2</v>
      </c>
      <c r="J102" s="297">
        <f t="shared" si="51"/>
        <v>0.31428571428571428</v>
      </c>
      <c r="K102" s="298">
        <f>+(G102/F102)*E102</f>
        <v>1.4285714285714285E-2</v>
      </c>
      <c r="L102" s="298">
        <f t="shared" si="52"/>
        <v>7.857142857142857E-2</v>
      </c>
      <c r="M102" s="292">
        <v>1153</v>
      </c>
      <c r="N102" s="300">
        <v>524</v>
      </c>
      <c r="O102" s="293">
        <v>528</v>
      </c>
      <c r="P102" s="293">
        <v>530</v>
      </c>
      <c r="Q102" s="292"/>
      <c r="R102" s="292">
        <f t="shared" ref="R102:R105" si="59">+N102+O102+P102+Q102</f>
        <v>1582</v>
      </c>
      <c r="S102" s="292">
        <f>+R102+M102+393</f>
        <v>3128</v>
      </c>
      <c r="T102" s="294">
        <v>1</v>
      </c>
      <c r="U102" s="295">
        <f t="shared" si="55"/>
        <v>0.71909090909090911</v>
      </c>
      <c r="V102" s="295">
        <f>+T102*E102</f>
        <v>0.25</v>
      </c>
      <c r="W102" s="295">
        <f t="shared" si="56"/>
        <v>0.17977272727272728</v>
      </c>
      <c r="X102" s="295">
        <f>+M102/F102</f>
        <v>0.1647142857142857</v>
      </c>
      <c r="Y102" s="295">
        <f t="shared" si="57"/>
        <v>0.44685714285714284</v>
      </c>
      <c r="Z102" s="295">
        <f>+X102*E102</f>
        <v>4.1178571428571425E-2</v>
      </c>
      <c r="AA102" s="295">
        <f>+Y102*E102</f>
        <v>0.11171428571428571</v>
      </c>
      <c r="AB102" s="296" t="s">
        <v>1775</v>
      </c>
      <c r="AC102" s="655" t="s">
        <v>1799</v>
      </c>
      <c r="AD102" s="655" t="s">
        <v>1860</v>
      </c>
      <c r="AE102" s="605" t="s">
        <v>1867</v>
      </c>
      <c r="AF102" s="605" t="s">
        <v>1897</v>
      </c>
    </row>
    <row r="103" spans="1:32" ht="122.4" customHeight="1" thickBot="1" x14ac:dyDescent="0.45">
      <c r="A103" s="276"/>
      <c r="B103" s="896" t="s">
        <v>519</v>
      </c>
      <c r="C103" s="894" t="s">
        <v>520</v>
      </c>
      <c r="D103" s="331" t="s">
        <v>501</v>
      </c>
      <c r="E103" s="286">
        <v>0.25</v>
      </c>
      <c r="F103" s="287">
        <v>800</v>
      </c>
      <c r="G103" s="307">
        <v>70</v>
      </c>
      <c r="H103" s="308">
        <v>240</v>
      </c>
      <c r="I103" s="297">
        <f>+G103/F103</f>
        <v>8.7499999999999994E-2</v>
      </c>
      <c r="J103" s="297">
        <f t="shared" si="51"/>
        <v>0.3</v>
      </c>
      <c r="K103" s="298">
        <f>+(G103/F103)*E103</f>
        <v>2.1874999999999999E-2</v>
      </c>
      <c r="L103" s="298">
        <f t="shared" si="52"/>
        <v>7.4999999999999997E-2</v>
      </c>
      <c r="M103" s="292">
        <v>60</v>
      </c>
      <c r="N103" s="300">
        <v>0</v>
      </c>
      <c r="O103" s="293">
        <v>0</v>
      </c>
      <c r="P103" s="293">
        <v>0</v>
      </c>
      <c r="Q103" s="292"/>
      <c r="R103" s="292">
        <f t="shared" si="59"/>
        <v>0</v>
      </c>
      <c r="S103" s="292">
        <f t="shared" ref="S103:S105" si="60">+R103+M103</f>
        <v>60</v>
      </c>
      <c r="T103" s="294">
        <f>+(M103/G103)</f>
        <v>0.8571428571428571</v>
      </c>
      <c r="U103" s="295">
        <f t="shared" si="55"/>
        <v>0</v>
      </c>
      <c r="V103" s="295">
        <f>+T103*E103</f>
        <v>0.21428571428571427</v>
      </c>
      <c r="W103" s="295">
        <f t="shared" si="56"/>
        <v>0</v>
      </c>
      <c r="X103" s="295">
        <f>+M103/F103</f>
        <v>7.4999999999999997E-2</v>
      </c>
      <c r="Y103" s="295">
        <f t="shared" si="57"/>
        <v>7.4999999999999997E-2</v>
      </c>
      <c r="Z103" s="295">
        <f>+X103*E103</f>
        <v>1.8749999999999999E-2</v>
      </c>
      <c r="AA103" s="295">
        <f>+Y103*E103</f>
        <v>1.8749999999999999E-2</v>
      </c>
      <c r="AB103" s="296" t="s">
        <v>1775</v>
      </c>
      <c r="AC103" s="655" t="s">
        <v>1799</v>
      </c>
      <c r="AD103" s="655" t="s">
        <v>1860</v>
      </c>
      <c r="AE103" s="605" t="s">
        <v>1867</v>
      </c>
      <c r="AF103" s="605" t="s">
        <v>1897</v>
      </c>
    </row>
    <row r="104" spans="1:32" ht="122.4" customHeight="1" thickBot="1" x14ac:dyDescent="0.45">
      <c r="A104" s="276"/>
      <c r="B104" s="896" t="s">
        <v>521</v>
      </c>
      <c r="C104" s="894" t="s">
        <v>522</v>
      </c>
      <c r="D104" s="331" t="s">
        <v>516</v>
      </c>
      <c r="E104" s="286">
        <v>0.25</v>
      </c>
      <c r="F104" s="287">
        <v>5</v>
      </c>
      <c r="G104" s="307">
        <v>1</v>
      </c>
      <c r="H104" s="308">
        <v>1</v>
      </c>
      <c r="I104" s="297">
        <f>+G104/F104</f>
        <v>0.2</v>
      </c>
      <c r="J104" s="297">
        <f t="shared" si="51"/>
        <v>0.2</v>
      </c>
      <c r="K104" s="298">
        <f>+(G104/F104)*E104</f>
        <v>0.05</v>
      </c>
      <c r="L104" s="298">
        <f t="shared" si="52"/>
        <v>0.05</v>
      </c>
      <c r="M104" s="292">
        <v>0</v>
      </c>
      <c r="N104" s="300">
        <v>0</v>
      </c>
      <c r="O104" s="293">
        <v>0</v>
      </c>
      <c r="P104" s="293">
        <v>0</v>
      </c>
      <c r="Q104" s="292"/>
      <c r="R104" s="292">
        <f t="shared" si="59"/>
        <v>0</v>
      </c>
      <c r="S104" s="292">
        <f t="shared" si="60"/>
        <v>0</v>
      </c>
      <c r="T104" s="294">
        <f>+(M104/G104)</f>
        <v>0</v>
      </c>
      <c r="U104" s="295">
        <f t="shared" si="55"/>
        <v>0</v>
      </c>
      <c r="V104" s="295">
        <f>+T104*E104</f>
        <v>0</v>
      </c>
      <c r="W104" s="295">
        <f t="shared" si="56"/>
        <v>0</v>
      </c>
      <c r="X104" s="295">
        <f>+M104/F104</f>
        <v>0</v>
      </c>
      <c r="Y104" s="295">
        <f t="shared" si="57"/>
        <v>0</v>
      </c>
      <c r="Z104" s="295">
        <f>+X104*E104</f>
        <v>0</v>
      </c>
      <c r="AA104" s="295">
        <f>+Y104*E104</f>
        <v>0</v>
      </c>
      <c r="AB104" s="296" t="s">
        <v>1775</v>
      </c>
      <c r="AC104" s="655" t="s">
        <v>1799</v>
      </c>
      <c r="AD104" s="655" t="s">
        <v>1860</v>
      </c>
      <c r="AE104" s="605" t="s">
        <v>1867</v>
      </c>
      <c r="AF104" s="605" t="s">
        <v>1897</v>
      </c>
    </row>
    <row r="105" spans="1:32" ht="143.4" customHeight="1" thickBot="1" x14ac:dyDescent="0.45">
      <c r="A105" s="276"/>
      <c r="B105" s="896" t="s">
        <v>523</v>
      </c>
      <c r="C105" s="894" t="s">
        <v>524</v>
      </c>
      <c r="D105" s="331" t="s">
        <v>516</v>
      </c>
      <c r="E105" s="286">
        <v>0.25</v>
      </c>
      <c r="F105" s="287">
        <v>6</v>
      </c>
      <c r="G105" s="307">
        <v>0</v>
      </c>
      <c r="H105" s="308">
        <v>0</v>
      </c>
      <c r="I105" s="297"/>
      <c r="J105" s="297"/>
      <c r="K105" s="298"/>
      <c r="L105" s="298"/>
      <c r="M105" s="292"/>
      <c r="N105" s="300"/>
      <c r="O105" s="293"/>
      <c r="P105" s="293"/>
      <c r="Q105" s="292"/>
      <c r="R105" s="292">
        <f t="shared" si="59"/>
        <v>0</v>
      </c>
      <c r="S105" s="292">
        <f t="shared" si="60"/>
        <v>0</v>
      </c>
      <c r="T105" s="294"/>
      <c r="U105" s="295"/>
      <c r="V105" s="295"/>
      <c r="W105" s="295"/>
      <c r="X105" s="295"/>
      <c r="Y105" s="295"/>
      <c r="Z105" s="295"/>
      <c r="AA105" s="295">
        <f>+Y105*E105</f>
        <v>0</v>
      </c>
      <c r="AB105" s="296" t="s">
        <v>1775</v>
      </c>
      <c r="AC105" s="655" t="s">
        <v>1799</v>
      </c>
      <c r="AD105" s="655" t="s">
        <v>1860</v>
      </c>
      <c r="AE105" s="605" t="s">
        <v>1867</v>
      </c>
      <c r="AF105" s="605" t="s">
        <v>1897</v>
      </c>
    </row>
    <row r="106" spans="1:32" ht="127.8" customHeight="1" thickBot="1" x14ac:dyDescent="0.45">
      <c r="A106" s="276"/>
      <c r="B106" s="955" t="s">
        <v>1587</v>
      </c>
      <c r="C106" s="957"/>
      <c r="D106" s="331"/>
      <c r="E106" s="282">
        <v>0.3</v>
      </c>
      <c r="F106" s="287"/>
      <c r="G106" s="307"/>
      <c r="H106" s="308"/>
      <c r="I106" s="304">
        <f>+AVERAGE(I107:I118)</f>
        <v>0.625</v>
      </c>
      <c r="J106" s="304">
        <f>+AVERAGE(J107:J118)</f>
        <v>0.63047619047619041</v>
      </c>
      <c r="K106" s="305">
        <f>+K107+K108+K109+K110+K111+K112+K113+K114+K115+K116+K117+K118</f>
        <v>0.125</v>
      </c>
      <c r="L106" s="305">
        <f>+L107+L108+L109+L110+L111+L112+L113+L114+L115+L116+L117+L118</f>
        <v>0.21633333333333332</v>
      </c>
      <c r="M106" s="292"/>
      <c r="N106" s="306"/>
      <c r="O106" s="306"/>
      <c r="P106" s="306"/>
      <c r="Q106" s="306"/>
      <c r="R106" s="306"/>
      <c r="S106" s="306"/>
      <c r="T106" s="525">
        <f>+AVERAGE(T107:T118)</f>
        <v>0.9</v>
      </c>
      <c r="U106" s="525">
        <f>+AVERAGE(U107:U118)</f>
        <v>0.27095959595959596</v>
      </c>
      <c r="V106" s="329">
        <f>+(V107+V108+V109+V110+V111+V112+V113+V114+V115+V116+V117+V118)*E106</f>
        <v>5.4000000000000006E-2</v>
      </c>
      <c r="W106" s="329">
        <f>+(W107+W108+W109+W110+W111+W112+W113+W114+W115+W116+W117+W118)*F106</f>
        <v>0</v>
      </c>
      <c r="X106" s="284">
        <v>0.125</v>
      </c>
      <c r="Y106" s="284">
        <f>+X106+((Y107-X107)/12)+ ((Y108-X108)/12)+((Y114-X114)/12)</f>
        <v>0.15694444444444444</v>
      </c>
      <c r="Z106" s="284">
        <f>+(Z107+Z108+Z109+Z110+Z111+Z112+Z113+Z114+Z115+Z116+Z117+Z118)*E106</f>
        <v>3.6000000000000004E-2</v>
      </c>
      <c r="AA106" s="284">
        <f>+(AA107+AA108+AA109+AA110+AA111+AA112+AA113+AA114+AA115+AA116+AA117+AA118)</f>
        <v>0.17583333333333334</v>
      </c>
      <c r="AB106" s="284" t="s">
        <v>1519</v>
      </c>
      <c r="AC106" s="271"/>
      <c r="AD106" s="272"/>
      <c r="AE106" s="272"/>
      <c r="AF106" s="272"/>
    </row>
    <row r="107" spans="1:32" ht="122.4" customHeight="1" thickBot="1" x14ac:dyDescent="0.45">
      <c r="A107" s="276"/>
      <c r="B107" s="897" t="s">
        <v>525</v>
      </c>
      <c r="C107" s="893" t="s">
        <v>526</v>
      </c>
      <c r="D107" s="331" t="s">
        <v>516</v>
      </c>
      <c r="E107" s="286">
        <v>0.1</v>
      </c>
      <c r="F107" s="287">
        <v>1</v>
      </c>
      <c r="G107" s="307">
        <v>1</v>
      </c>
      <c r="H107" s="308">
        <v>1</v>
      </c>
      <c r="I107" s="297">
        <f>+G107/F107</f>
        <v>1</v>
      </c>
      <c r="J107" s="297">
        <f t="shared" si="51"/>
        <v>1</v>
      </c>
      <c r="K107" s="298">
        <f>+(G107/F107)*E107</f>
        <v>0.1</v>
      </c>
      <c r="L107" s="298"/>
      <c r="M107" s="292">
        <v>1</v>
      </c>
      <c r="N107" s="300"/>
      <c r="O107" s="293"/>
      <c r="P107" s="293"/>
      <c r="Q107" s="292"/>
      <c r="R107" s="292"/>
      <c r="S107" s="292">
        <f t="shared" ref="S107:S118" si="61">+R107+M107</f>
        <v>1</v>
      </c>
      <c r="T107" s="294">
        <f>+(M107/G107)</f>
        <v>1</v>
      </c>
      <c r="U107" s="295"/>
      <c r="V107" s="295">
        <f>+T107*E107</f>
        <v>0.1</v>
      </c>
      <c r="W107" s="295"/>
      <c r="X107" s="295">
        <f>+M107/F107</f>
        <v>1</v>
      </c>
      <c r="Y107" s="295">
        <f t="shared" si="57"/>
        <v>1</v>
      </c>
      <c r="Z107" s="295">
        <f>+X107*E107</f>
        <v>0.1</v>
      </c>
      <c r="AA107" s="295">
        <f>+Y107*E107</f>
        <v>0.1</v>
      </c>
      <c r="AB107" s="318"/>
      <c r="AC107" s="655" t="s">
        <v>1827</v>
      </c>
      <c r="AD107" s="272"/>
      <c r="AE107" s="604" t="s">
        <v>1779</v>
      </c>
      <c r="AF107" s="605" t="s">
        <v>1897</v>
      </c>
    </row>
    <row r="108" spans="1:32" ht="122.4" customHeight="1" thickBot="1" x14ac:dyDescent="0.45">
      <c r="A108" s="276"/>
      <c r="B108" s="896" t="s">
        <v>527</v>
      </c>
      <c r="C108" s="894" t="s">
        <v>528</v>
      </c>
      <c r="D108" s="331" t="s">
        <v>516</v>
      </c>
      <c r="E108" s="286">
        <v>0.1</v>
      </c>
      <c r="F108" s="287">
        <v>4</v>
      </c>
      <c r="G108" s="307">
        <v>1</v>
      </c>
      <c r="H108" s="819">
        <v>1</v>
      </c>
      <c r="I108" s="297">
        <f>+G108/F108</f>
        <v>0.25</v>
      </c>
      <c r="J108" s="297">
        <f t="shared" si="51"/>
        <v>0.25</v>
      </c>
      <c r="K108" s="298">
        <f>+(G108/F108)*E108</f>
        <v>2.5000000000000001E-2</v>
      </c>
      <c r="L108" s="298">
        <f t="shared" si="52"/>
        <v>2.5000000000000001E-2</v>
      </c>
      <c r="M108" s="663">
        <v>0.8</v>
      </c>
      <c r="N108" s="300">
        <v>0</v>
      </c>
      <c r="O108" s="293">
        <v>1</v>
      </c>
      <c r="P108" s="293">
        <v>0</v>
      </c>
      <c r="Q108" s="292"/>
      <c r="R108" s="292">
        <f t="shared" ref="R108:R118" si="62">+N108+O108+P108+Q108</f>
        <v>1</v>
      </c>
      <c r="S108" s="292">
        <f t="shared" si="61"/>
        <v>1.8</v>
      </c>
      <c r="T108" s="294">
        <f>+(M108/G108)</f>
        <v>0.8</v>
      </c>
      <c r="U108" s="295">
        <f t="shared" si="55"/>
        <v>1</v>
      </c>
      <c r="V108" s="295">
        <f>+T108*E108</f>
        <v>8.0000000000000016E-2</v>
      </c>
      <c r="W108" s="295">
        <f t="shared" si="56"/>
        <v>0.1</v>
      </c>
      <c r="X108" s="295">
        <f>+M108/F108</f>
        <v>0.2</v>
      </c>
      <c r="Y108" s="527">
        <f>+(S108+0.2)/F108</f>
        <v>0.5</v>
      </c>
      <c r="Z108" s="295">
        <f>+X108*E108</f>
        <v>2.0000000000000004E-2</v>
      </c>
      <c r="AA108" s="295">
        <f>+Y108*E108</f>
        <v>0.05</v>
      </c>
      <c r="AB108" s="318"/>
      <c r="AC108" s="655" t="s">
        <v>1799</v>
      </c>
      <c r="AD108" s="272"/>
      <c r="AE108" s="605" t="s">
        <v>1867</v>
      </c>
      <c r="AF108" s="605" t="s">
        <v>1897</v>
      </c>
    </row>
    <row r="109" spans="1:32" ht="122.4" customHeight="1" thickBot="1" x14ac:dyDescent="0.45">
      <c r="A109" s="276"/>
      <c r="B109" s="896" t="s">
        <v>529</v>
      </c>
      <c r="C109" s="894" t="s">
        <v>530</v>
      </c>
      <c r="D109" s="331" t="s">
        <v>516</v>
      </c>
      <c r="E109" s="286">
        <v>0.1</v>
      </c>
      <c r="F109" s="287">
        <v>1</v>
      </c>
      <c r="G109" s="307">
        <v>0</v>
      </c>
      <c r="H109" s="308">
        <v>0</v>
      </c>
      <c r="I109" s="297"/>
      <c r="J109" s="297"/>
      <c r="K109" s="298"/>
      <c r="L109" s="298"/>
      <c r="M109" s="292"/>
      <c r="N109" s="300"/>
      <c r="O109" s="293"/>
      <c r="P109" s="292"/>
      <c r="Q109" s="292"/>
      <c r="R109" s="292">
        <f t="shared" si="62"/>
        <v>0</v>
      </c>
      <c r="S109" s="292">
        <f t="shared" si="61"/>
        <v>0</v>
      </c>
      <c r="T109" s="294"/>
      <c r="U109" s="295"/>
      <c r="V109" s="295"/>
      <c r="W109" s="295"/>
      <c r="X109" s="295"/>
      <c r="Y109" s="295"/>
      <c r="Z109" s="295"/>
      <c r="AA109" s="295">
        <f t="shared" ref="AA109:AA118" si="63">+Y109*E109</f>
        <v>0</v>
      </c>
      <c r="AB109" s="296" t="s">
        <v>1775</v>
      </c>
      <c r="AC109" s="655" t="s">
        <v>1799</v>
      </c>
      <c r="AD109" s="272"/>
      <c r="AE109" s="605" t="s">
        <v>1867</v>
      </c>
      <c r="AF109" s="605" t="s">
        <v>1897</v>
      </c>
    </row>
    <row r="110" spans="1:32" ht="122.4" customHeight="1" thickBot="1" x14ac:dyDescent="0.45">
      <c r="A110" s="276"/>
      <c r="B110" s="896" t="s">
        <v>531</v>
      </c>
      <c r="C110" s="894" t="s">
        <v>532</v>
      </c>
      <c r="D110" s="331" t="s">
        <v>516</v>
      </c>
      <c r="E110" s="286">
        <v>0.1</v>
      </c>
      <c r="F110" s="287">
        <v>1</v>
      </c>
      <c r="G110" s="307">
        <v>0</v>
      </c>
      <c r="H110" s="308">
        <v>0</v>
      </c>
      <c r="I110" s="297"/>
      <c r="J110" s="297"/>
      <c r="K110" s="298"/>
      <c r="L110" s="298"/>
      <c r="M110" s="292"/>
      <c r="N110" s="300"/>
      <c r="O110" s="293"/>
      <c r="P110" s="292"/>
      <c r="Q110" s="292"/>
      <c r="R110" s="292">
        <f t="shared" si="62"/>
        <v>0</v>
      </c>
      <c r="S110" s="292">
        <f t="shared" si="61"/>
        <v>0</v>
      </c>
      <c r="T110" s="294"/>
      <c r="U110" s="295"/>
      <c r="V110" s="295"/>
      <c r="W110" s="295"/>
      <c r="X110" s="295"/>
      <c r="Y110" s="295"/>
      <c r="Z110" s="295"/>
      <c r="AA110" s="295">
        <f t="shared" si="63"/>
        <v>0</v>
      </c>
      <c r="AB110" s="296" t="s">
        <v>1775</v>
      </c>
      <c r="AC110" s="655" t="s">
        <v>1799</v>
      </c>
      <c r="AD110" s="272"/>
      <c r="AE110" s="605" t="s">
        <v>1867</v>
      </c>
      <c r="AF110" s="605" t="s">
        <v>1897</v>
      </c>
    </row>
    <row r="111" spans="1:32" ht="122.4" customHeight="1" thickBot="1" x14ac:dyDescent="0.45">
      <c r="A111" s="276"/>
      <c r="B111" s="896" t="s">
        <v>533</v>
      </c>
      <c r="C111" s="894" t="s">
        <v>534</v>
      </c>
      <c r="D111" s="331" t="s">
        <v>516</v>
      </c>
      <c r="E111" s="286">
        <v>0.1</v>
      </c>
      <c r="F111" s="287">
        <v>1</v>
      </c>
      <c r="G111" s="307">
        <v>0</v>
      </c>
      <c r="H111" s="308">
        <v>0</v>
      </c>
      <c r="I111" s="297"/>
      <c r="J111" s="297"/>
      <c r="K111" s="298"/>
      <c r="L111" s="298"/>
      <c r="M111" s="333"/>
      <c r="N111" s="300"/>
      <c r="O111" s="808"/>
      <c r="P111" s="333"/>
      <c r="Q111" s="333"/>
      <c r="R111" s="333">
        <f t="shared" si="62"/>
        <v>0</v>
      </c>
      <c r="S111" s="333">
        <f t="shared" si="61"/>
        <v>0</v>
      </c>
      <c r="T111" s="294"/>
      <c r="U111" s="295"/>
      <c r="V111" s="295"/>
      <c r="W111" s="295"/>
      <c r="X111" s="295"/>
      <c r="Y111" s="295"/>
      <c r="Z111" s="295"/>
      <c r="AA111" s="295">
        <f>+Y111*E111</f>
        <v>0</v>
      </c>
      <c r="AB111" s="296" t="s">
        <v>1775</v>
      </c>
      <c r="AC111" s="655" t="s">
        <v>1799</v>
      </c>
      <c r="AD111" s="272"/>
      <c r="AE111" s="605" t="s">
        <v>1867</v>
      </c>
      <c r="AF111" s="605" t="s">
        <v>1897</v>
      </c>
    </row>
    <row r="112" spans="1:32" ht="122.4" customHeight="1" thickBot="1" x14ac:dyDescent="0.45">
      <c r="A112" s="276"/>
      <c r="B112" s="896" t="s">
        <v>535</v>
      </c>
      <c r="C112" s="894" t="s">
        <v>536</v>
      </c>
      <c r="D112" s="331" t="s">
        <v>516</v>
      </c>
      <c r="E112" s="286">
        <v>0.1</v>
      </c>
      <c r="F112" s="287">
        <v>4</v>
      </c>
      <c r="G112" s="307">
        <v>0</v>
      </c>
      <c r="H112" s="308">
        <v>0</v>
      </c>
      <c r="I112" s="297"/>
      <c r="J112" s="297"/>
      <c r="K112" s="298"/>
      <c r="L112" s="298"/>
      <c r="M112" s="333"/>
      <c r="N112" s="300"/>
      <c r="O112" s="808"/>
      <c r="P112" s="333"/>
      <c r="Q112" s="333"/>
      <c r="R112" s="333">
        <f t="shared" si="62"/>
        <v>0</v>
      </c>
      <c r="S112" s="333">
        <f t="shared" si="61"/>
        <v>0</v>
      </c>
      <c r="T112" s="294"/>
      <c r="U112" s="295"/>
      <c r="V112" s="295"/>
      <c r="W112" s="295"/>
      <c r="X112" s="295"/>
      <c r="Y112" s="295"/>
      <c r="Z112" s="295"/>
      <c r="AA112" s="295">
        <f t="shared" si="63"/>
        <v>0</v>
      </c>
      <c r="AB112" s="296" t="s">
        <v>1775</v>
      </c>
      <c r="AC112" s="655" t="s">
        <v>1799</v>
      </c>
      <c r="AD112" s="272"/>
      <c r="AE112" s="605" t="s">
        <v>1867</v>
      </c>
      <c r="AF112" s="605" t="s">
        <v>1897</v>
      </c>
    </row>
    <row r="113" spans="1:32" ht="122.4" customHeight="1" thickBot="1" x14ac:dyDescent="0.45">
      <c r="A113" s="276"/>
      <c r="B113" s="896" t="s">
        <v>537</v>
      </c>
      <c r="C113" s="894" t="s">
        <v>538</v>
      </c>
      <c r="D113" s="331" t="s">
        <v>516</v>
      </c>
      <c r="E113" s="286">
        <v>0.05</v>
      </c>
      <c r="F113" s="287">
        <v>1</v>
      </c>
      <c r="G113" s="307">
        <v>0</v>
      </c>
      <c r="H113" s="308">
        <v>0</v>
      </c>
      <c r="I113" s="297"/>
      <c r="J113" s="297"/>
      <c r="K113" s="298"/>
      <c r="L113" s="298"/>
      <c r="M113" s="292"/>
      <c r="N113" s="300"/>
      <c r="O113" s="293"/>
      <c r="P113" s="292"/>
      <c r="Q113" s="292"/>
      <c r="R113" s="292">
        <f t="shared" si="62"/>
        <v>0</v>
      </c>
      <c r="S113" s="292">
        <f t="shared" si="61"/>
        <v>0</v>
      </c>
      <c r="T113" s="294"/>
      <c r="U113" s="295"/>
      <c r="V113" s="295"/>
      <c r="W113" s="295"/>
      <c r="X113" s="295"/>
      <c r="Y113" s="295"/>
      <c r="Z113" s="295"/>
      <c r="AA113" s="295">
        <f t="shared" si="63"/>
        <v>0</v>
      </c>
      <c r="AB113" s="296" t="s">
        <v>1775</v>
      </c>
      <c r="AC113" s="655" t="s">
        <v>1799</v>
      </c>
      <c r="AD113" s="272"/>
      <c r="AE113" s="605" t="s">
        <v>1867</v>
      </c>
      <c r="AF113" s="605" t="s">
        <v>1897</v>
      </c>
    </row>
    <row r="114" spans="1:32" ht="122.4" customHeight="1" thickBot="1" x14ac:dyDescent="0.45">
      <c r="A114" s="276"/>
      <c r="B114" s="896" t="s">
        <v>539</v>
      </c>
      <c r="C114" s="894" t="s">
        <v>540</v>
      </c>
      <c r="D114" s="331" t="s">
        <v>516</v>
      </c>
      <c r="E114" s="286">
        <v>0.1</v>
      </c>
      <c r="F114" s="287">
        <v>24</v>
      </c>
      <c r="G114" s="307">
        <v>0</v>
      </c>
      <c r="H114" s="308">
        <v>8</v>
      </c>
      <c r="I114" s="297"/>
      <c r="J114" s="297">
        <f t="shared" si="51"/>
        <v>0.33333333333333331</v>
      </c>
      <c r="K114" s="298"/>
      <c r="L114" s="298">
        <f t="shared" si="52"/>
        <v>3.3333333333333333E-2</v>
      </c>
      <c r="M114" s="292"/>
      <c r="N114" s="300">
        <v>2</v>
      </c>
      <c r="O114" s="293">
        <v>0</v>
      </c>
      <c r="P114" s="293">
        <v>0</v>
      </c>
      <c r="Q114" s="292"/>
      <c r="R114" s="292">
        <f t="shared" si="62"/>
        <v>2</v>
      </c>
      <c r="S114" s="292">
        <f t="shared" si="61"/>
        <v>2</v>
      </c>
      <c r="T114" s="294"/>
      <c r="U114" s="295">
        <f t="shared" si="55"/>
        <v>0.25</v>
      </c>
      <c r="V114" s="295"/>
      <c r="W114" s="295">
        <f t="shared" si="56"/>
        <v>2.5000000000000001E-2</v>
      </c>
      <c r="X114" s="295"/>
      <c r="Y114" s="295">
        <f>+S114/F114</f>
        <v>8.3333333333333329E-2</v>
      </c>
      <c r="Z114" s="295"/>
      <c r="AA114" s="295">
        <f t="shared" si="63"/>
        <v>8.3333333333333332E-3</v>
      </c>
      <c r="AB114" s="296" t="s">
        <v>1775</v>
      </c>
      <c r="AC114" s="664" t="s">
        <v>1828</v>
      </c>
      <c r="AD114" s="272"/>
      <c r="AE114" s="605" t="s">
        <v>1867</v>
      </c>
      <c r="AF114" s="605" t="s">
        <v>1897</v>
      </c>
    </row>
    <row r="115" spans="1:32" ht="122.4" customHeight="1" thickBot="1" x14ac:dyDescent="0.45">
      <c r="A115" s="276"/>
      <c r="B115" s="896" t="s">
        <v>541</v>
      </c>
      <c r="C115" s="894" t="s">
        <v>542</v>
      </c>
      <c r="D115" s="331" t="s">
        <v>516</v>
      </c>
      <c r="E115" s="286">
        <v>0.1</v>
      </c>
      <c r="F115" s="287">
        <v>100000</v>
      </c>
      <c r="G115" s="307">
        <v>0</v>
      </c>
      <c r="H115" s="308">
        <v>33000</v>
      </c>
      <c r="I115" s="297"/>
      <c r="J115" s="297">
        <f t="shared" si="51"/>
        <v>0.33</v>
      </c>
      <c r="K115" s="298"/>
      <c r="L115" s="298">
        <f t="shared" si="52"/>
        <v>3.3000000000000002E-2</v>
      </c>
      <c r="M115" s="292"/>
      <c r="N115" s="300">
        <v>0</v>
      </c>
      <c r="O115" s="293">
        <v>0</v>
      </c>
      <c r="P115" s="293">
        <v>2500</v>
      </c>
      <c r="Q115" s="292"/>
      <c r="R115" s="292">
        <f t="shared" si="62"/>
        <v>2500</v>
      </c>
      <c r="S115" s="292">
        <f t="shared" si="61"/>
        <v>2500</v>
      </c>
      <c r="T115" s="294"/>
      <c r="U115" s="295">
        <f t="shared" si="55"/>
        <v>7.575757575757576E-2</v>
      </c>
      <c r="V115" s="295"/>
      <c r="W115" s="295">
        <f t="shared" si="56"/>
        <v>7.575757575757576E-3</v>
      </c>
      <c r="X115" s="295"/>
      <c r="Y115" s="527">
        <f t="shared" si="57"/>
        <v>2.5000000000000001E-2</v>
      </c>
      <c r="Z115" s="295"/>
      <c r="AA115" s="295">
        <f t="shared" si="63"/>
        <v>2.5000000000000005E-3</v>
      </c>
      <c r="AB115" s="296" t="s">
        <v>1775</v>
      </c>
      <c r="AC115" s="664" t="s">
        <v>1828</v>
      </c>
      <c r="AD115" s="272"/>
      <c r="AE115" s="605" t="s">
        <v>1867</v>
      </c>
      <c r="AF115" s="605" t="s">
        <v>1897</v>
      </c>
    </row>
    <row r="116" spans="1:32" ht="122.4" customHeight="1" thickBot="1" x14ac:dyDescent="0.45">
      <c r="A116" s="276"/>
      <c r="B116" s="896" t="s">
        <v>543</v>
      </c>
      <c r="C116" s="894" t="s">
        <v>544</v>
      </c>
      <c r="D116" s="331" t="s">
        <v>516</v>
      </c>
      <c r="E116" s="286">
        <v>0.05</v>
      </c>
      <c r="F116" s="287">
        <v>1</v>
      </c>
      <c r="G116" s="307">
        <v>0</v>
      </c>
      <c r="H116" s="308">
        <v>1</v>
      </c>
      <c r="I116" s="297"/>
      <c r="J116" s="297">
        <f t="shared" si="51"/>
        <v>1</v>
      </c>
      <c r="K116" s="298"/>
      <c r="L116" s="298">
        <f t="shared" si="52"/>
        <v>0.05</v>
      </c>
      <c r="M116" s="292"/>
      <c r="N116" s="300">
        <v>0</v>
      </c>
      <c r="O116" s="293">
        <v>0</v>
      </c>
      <c r="P116" s="293">
        <v>0.3</v>
      </c>
      <c r="Q116" s="292"/>
      <c r="R116" s="292">
        <f t="shared" si="62"/>
        <v>0.3</v>
      </c>
      <c r="S116" s="292">
        <f t="shared" si="61"/>
        <v>0.3</v>
      </c>
      <c r="T116" s="294"/>
      <c r="U116" s="295">
        <f t="shared" si="55"/>
        <v>0.3</v>
      </c>
      <c r="V116" s="295"/>
      <c r="W116" s="295">
        <f t="shared" si="56"/>
        <v>1.4999999999999999E-2</v>
      </c>
      <c r="X116" s="295"/>
      <c r="Y116" s="527">
        <f t="shared" si="57"/>
        <v>0.3</v>
      </c>
      <c r="Z116" s="295"/>
      <c r="AA116" s="295">
        <f t="shared" si="63"/>
        <v>1.4999999999999999E-2</v>
      </c>
      <c r="AB116" s="296" t="s">
        <v>1775</v>
      </c>
      <c r="AC116" s="664" t="s">
        <v>1829</v>
      </c>
      <c r="AD116" s="272"/>
      <c r="AE116" s="605" t="s">
        <v>1867</v>
      </c>
      <c r="AF116" s="605" t="s">
        <v>1897</v>
      </c>
    </row>
    <row r="117" spans="1:32" ht="122.4" customHeight="1" thickBot="1" x14ac:dyDescent="0.45">
      <c r="A117" s="276"/>
      <c r="B117" s="896" t="s">
        <v>545</v>
      </c>
      <c r="C117" s="894" t="s">
        <v>546</v>
      </c>
      <c r="D117" s="331" t="s">
        <v>516</v>
      </c>
      <c r="E117" s="286">
        <v>0.05</v>
      </c>
      <c r="F117" s="287">
        <v>2</v>
      </c>
      <c r="G117" s="307">
        <v>0</v>
      </c>
      <c r="H117" s="308">
        <v>1</v>
      </c>
      <c r="I117" s="297"/>
      <c r="J117" s="297">
        <f t="shared" si="51"/>
        <v>0.5</v>
      </c>
      <c r="K117" s="298"/>
      <c r="L117" s="298">
        <f t="shared" si="52"/>
        <v>2.5000000000000001E-2</v>
      </c>
      <c r="M117" s="292"/>
      <c r="N117" s="300">
        <v>0</v>
      </c>
      <c r="O117" s="293">
        <v>0</v>
      </c>
      <c r="P117" s="293">
        <v>0</v>
      </c>
      <c r="Q117" s="292"/>
      <c r="R117" s="292">
        <f t="shared" si="62"/>
        <v>0</v>
      </c>
      <c r="S117" s="292">
        <f t="shared" si="61"/>
        <v>0</v>
      </c>
      <c r="T117" s="294"/>
      <c r="U117" s="295">
        <f t="shared" si="55"/>
        <v>0</v>
      </c>
      <c r="V117" s="295"/>
      <c r="W117" s="295">
        <f t="shared" si="56"/>
        <v>0</v>
      </c>
      <c r="X117" s="295"/>
      <c r="Y117" s="527">
        <f t="shared" si="57"/>
        <v>0</v>
      </c>
      <c r="Z117" s="295"/>
      <c r="AA117" s="295">
        <f t="shared" si="63"/>
        <v>0</v>
      </c>
      <c r="AB117" s="296" t="s">
        <v>1775</v>
      </c>
      <c r="AC117" s="664" t="s">
        <v>1830</v>
      </c>
      <c r="AD117" s="272"/>
      <c r="AE117" s="605" t="s">
        <v>1867</v>
      </c>
      <c r="AF117" s="605" t="s">
        <v>1897</v>
      </c>
    </row>
    <row r="118" spans="1:32" ht="122.4" customHeight="1" thickBot="1" x14ac:dyDescent="0.45">
      <c r="A118" s="276"/>
      <c r="B118" s="896" t="s">
        <v>547</v>
      </c>
      <c r="C118" s="894" t="s">
        <v>548</v>
      </c>
      <c r="D118" s="331" t="s">
        <v>516</v>
      </c>
      <c r="E118" s="286">
        <v>0.05</v>
      </c>
      <c r="F118" s="287">
        <v>1</v>
      </c>
      <c r="G118" s="307">
        <v>0</v>
      </c>
      <c r="H118" s="308">
        <v>1</v>
      </c>
      <c r="I118" s="297"/>
      <c r="J118" s="297">
        <f t="shared" si="51"/>
        <v>1</v>
      </c>
      <c r="K118" s="298"/>
      <c r="L118" s="298">
        <f t="shared" si="52"/>
        <v>0.05</v>
      </c>
      <c r="M118" s="292"/>
      <c r="N118" s="300">
        <v>0</v>
      </c>
      <c r="O118" s="293">
        <v>0</v>
      </c>
      <c r="P118" s="293">
        <v>0</v>
      </c>
      <c r="Q118" s="292"/>
      <c r="R118" s="292">
        <f t="shared" si="62"/>
        <v>0</v>
      </c>
      <c r="S118" s="292">
        <f t="shared" si="61"/>
        <v>0</v>
      </c>
      <c r="T118" s="294"/>
      <c r="U118" s="295">
        <f t="shared" si="55"/>
        <v>0</v>
      </c>
      <c r="V118" s="295"/>
      <c r="W118" s="295">
        <f t="shared" si="56"/>
        <v>0</v>
      </c>
      <c r="X118" s="295"/>
      <c r="Y118" s="527">
        <f t="shared" si="57"/>
        <v>0</v>
      </c>
      <c r="Z118" s="295"/>
      <c r="AA118" s="295">
        <f t="shared" si="63"/>
        <v>0</v>
      </c>
      <c r="AB118" s="296" t="s">
        <v>1775</v>
      </c>
      <c r="AC118" s="664" t="s">
        <v>1831</v>
      </c>
      <c r="AD118" s="272"/>
      <c r="AE118" s="602" t="s">
        <v>1867</v>
      </c>
      <c r="AF118" s="602" t="s">
        <v>1897</v>
      </c>
    </row>
    <row r="119" spans="1:32" ht="122.4" customHeight="1" thickBot="1" x14ac:dyDescent="0.45">
      <c r="A119" s="276"/>
      <c r="B119" s="960" t="s">
        <v>1588</v>
      </c>
      <c r="C119" s="957"/>
      <c r="D119" s="277"/>
      <c r="E119" s="323">
        <v>0.1</v>
      </c>
      <c r="F119" s="324">
        <f>+E119*V119</f>
        <v>7.759166666666667E-2</v>
      </c>
      <c r="G119" s="303"/>
      <c r="H119" s="278">
        <f>+E119*W119</f>
        <v>7.5657945205479471E-2</v>
      </c>
      <c r="I119" s="334">
        <f>+(I120+I122+I124+I126)/4</f>
        <v>0.17725490196078431</v>
      </c>
      <c r="J119" s="334">
        <f>+(J120+J122+J124+J126)/4</f>
        <v>0.1495081699346405</v>
      </c>
      <c r="K119" s="335">
        <f>+(K120+K122+K124+K126)/4</f>
        <v>0.16792156862745097</v>
      </c>
      <c r="L119" s="335">
        <f>+(L120+L122+L124+L126)/4</f>
        <v>0.15253039215686273</v>
      </c>
      <c r="M119" s="292"/>
      <c r="N119" s="292"/>
      <c r="O119" s="292"/>
      <c r="P119" s="292"/>
      <c r="Q119" s="292"/>
      <c r="R119" s="292"/>
      <c r="S119" s="292"/>
      <c r="T119" s="328">
        <f>+(T120+T122+T124+T126)/4</f>
        <v>0.84770833333333329</v>
      </c>
      <c r="U119" s="328">
        <f>+(U120+U122+U124+U126)/4</f>
        <v>0.68414954337899536</v>
      </c>
      <c r="V119" s="336">
        <f>+V120+V122+V124+V126</f>
        <v>0.7759166666666667</v>
      </c>
      <c r="W119" s="336">
        <f>+W120+W122+W124+W126</f>
        <v>0.7565794520547946</v>
      </c>
      <c r="X119" s="280">
        <f>(X120+X122+X124+X126)/4</f>
        <v>0.14324852941176469</v>
      </c>
      <c r="Y119" s="280">
        <f>(Y120+Y122+Y124+Y126)/4</f>
        <v>0.21681045751633984</v>
      </c>
      <c r="Z119" s="336">
        <f>(Z120+Z122+Z124+Z126)</f>
        <v>0.13347823529411765</v>
      </c>
      <c r="AA119" s="336">
        <f>(AA120*E120)+(AA122*E122)+(AA124*E124)+(AA126*E126)</f>
        <v>0.20702054901960781</v>
      </c>
      <c r="AB119" s="281"/>
      <c r="AC119" s="271"/>
      <c r="AD119" s="272"/>
      <c r="AE119" s="275"/>
      <c r="AF119" s="275"/>
    </row>
    <row r="120" spans="1:32" ht="122.4" customHeight="1" thickBot="1" x14ac:dyDescent="0.45">
      <c r="A120" s="276"/>
      <c r="B120" s="955" t="s">
        <v>1589</v>
      </c>
      <c r="C120" s="957"/>
      <c r="D120" s="277"/>
      <c r="E120" s="282">
        <v>0.3</v>
      </c>
      <c r="F120" s="302"/>
      <c r="G120" s="303"/>
      <c r="H120" s="283"/>
      <c r="I120" s="304">
        <f>+AVERAGE(I121)</f>
        <v>0.04</v>
      </c>
      <c r="J120" s="304">
        <f>+AVERAGE(J121)</f>
        <v>4.4999999999999998E-2</v>
      </c>
      <c r="K120" s="305">
        <f>+K121</f>
        <v>0.04</v>
      </c>
      <c r="L120" s="305">
        <f>+L121</f>
        <v>4.4999999999999998E-2</v>
      </c>
      <c r="M120" s="292"/>
      <c r="N120" s="306"/>
      <c r="O120" s="306"/>
      <c r="P120" s="306"/>
      <c r="Q120" s="306"/>
      <c r="R120" s="306"/>
      <c r="S120" s="306"/>
      <c r="T120" s="525">
        <f>+AVERAGE(T121)</f>
        <v>0.89749999999999996</v>
      </c>
      <c r="U120" s="525">
        <v>1</v>
      </c>
      <c r="V120" s="329">
        <f>+(V121)*E120</f>
        <v>0.26924999999999999</v>
      </c>
      <c r="W120" s="329">
        <f>+(W121)*E120</f>
        <v>0.3</v>
      </c>
      <c r="X120" s="284">
        <f>+AVERAGE(X121)</f>
        <v>3.5900000000000001E-2</v>
      </c>
      <c r="Y120" s="284">
        <f>+AVERAGE(Y121)</f>
        <v>8.2600000000000007E-2</v>
      </c>
      <c r="Z120" s="284">
        <f>+(Z121)*E120</f>
        <v>1.077E-2</v>
      </c>
      <c r="AA120" s="284">
        <f>+(AA121)</f>
        <v>8.2600000000000007E-2</v>
      </c>
      <c r="AB120" s="285"/>
      <c r="AC120" s="271"/>
      <c r="AD120" s="272"/>
      <c r="AE120" s="272"/>
      <c r="AF120" s="258"/>
    </row>
    <row r="121" spans="1:32" ht="122.4" customHeight="1" thickBot="1" x14ac:dyDescent="0.45">
      <c r="A121" s="276"/>
      <c r="B121" s="896" t="s">
        <v>549</v>
      </c>
      <c r="C121" s="894" t="s">
        <v>550</v>
      </c>
      <c r="D121" s="331" t="s">
        <v>551</v>
      </c>
      <c r="E121" s="286">
        <v>1</v>
      </c>
      <c r="F121" s="287">
        <v>10000</v>
      </c>
      <c r="G121" s="307">
        <v>400</v>
      </c>
      <c r="H121" s="308">
        <v>450</v>
      </c>
      <c r="I121" s="297">
        <f>+G121/F121</f>
        <v>0.04</v>
      </c>
      <c r="J121" s="297">
        <f>+H121/F121</f>
        <v>4.4999999999999998E-2</v>
      </c>
      <c r="K121" s="298">
        <f>+(G121/F121)*E121</f>
        <v>0.04</v>
      </c>
      <c r="L121" s="298">
        <f t="shared" ref="L121" si="64">+(H121/F121)*E121</f>
        <v>4.4999999999999998E-2</v>
      </c>
      <c r="M121" s="292">
        <v>359</v>
      </c>
      <c r="N121" s="300">
        <v>52</v>
      </c>
      <c r="O121" s="300">
        <v>142</v>
      </c>
      <c r="P121" s="293">
        <v>273</v>
      </c>
      <c r="Q121" s="292"/>
      <c r="R121" s="292">
        <f t="shared" ref="R121" si="65">+N121+O121+P121+Q121</f>
        <v>467</v>
      </c>
      <c r="S121" s="292">
        <f t="shared" ref="S121" si="66">+R121+M121</f>
        <v>826</v>
      </c>
      <c r="T121" s="294">
        <f>+(M121/G121)</f>
        <v>0.89749999999999996</v>
      </c>
      <c r="U121" s="295">
        <v>1</v>
      </c>
      <c r="V121" s="295">
        <f>+T121*E121</f>
        <v>0.89749999999999996</v>
      </c>
      <c r="W121" s="295">
        <f t="shared" ref="W121:W129" si="67">+U121*E121</f>
        <v>1</v>
      </c>
      <c r="X121" s="295">
        <f>+M121/F121</f>
        <v>3.5900000000000001E-2</v>
      </c>
      <c r="Y121" s="295">
        <f t="shared" ref="Y121:Y129" si="68">+S121/F121</f>
        <v>8.2600000000000007E-2</v>
      </c>
      <c r="Z121" s="295">
        <f>+X121*E121</f>
        <v>3.5900000000000001E-2</v>
      </c>
      <c r="AA121" s="295">
        <f>+Y121*E121</f>
        <v>8.2600000000000007E-2</v>
      </c>
      <c r="AB121" s="296" t="s">
        <v>1775</v>
      </c>
      <c r="AC121" s="655" t="s">
        <v>1799</v>
      </c>
      <c r="AD121" s="655" t="s">
        <v>1860</v>
      </c>
      <c r="AE121" s="602" t="s">
        <v>1867</v>
      </c>
      <c r="AF121" s="860" t="s">
        <v>1890</v>
      </c>
    </row>
    <row r="122" spans="1:32" ht="122.4" customHeight="1" thickBot="1" x14ac:dyDescent="0.45">
      <c r="A122" s="276"/>
      <c r="B122" s="955" t="s">
        <v>1590</v>
      </c>
      <c r="C122" s="957"/>
      <c r="D122" s="277"/>
      <c r="E122" s="282">
        <v>0.3</v>
      </c>
      <c r="F122" s="287"/>
      <c r="G122" s="307"/>
      <c r="H122" s="308"/>
      <c r="I122" s="304">
        <f>+AVERAGE(I123)</f>
        <v>0.21568627450980393</v>
      </c>
      <c r="J122" s="304">
        <f>+AVERAGE(J123)</f>
        <v>5.7254901960784317E-2</v>
      </c>
      <c r="K122" s="305">
        <f>+K123</f>
        <v>0.21568627450980393</v>
      </c>
      <c r="L122" s="305">
        <f>+L123</f>
        <v>5.7254901960784317E-2</v>
      </c>
      <c r="M122" s="292"/>
      <c r="N122" s="292"/>
      <c r="O122" s="292"/>
      <c r="P122" s="292"/>
      <c r="Q122" s="292"/>
      <c r="R122" s="292"/>
      <c r="S122" s="292"/>
      <c r="T122" s="525">
        <f>+AVERAGE(T123)</f>
        <v>1</v>
      </c>
      <c r="U122" s="525">
        <f>+AVERAGE(U123)</f>
        <v>0.98493150684931507</v>
      </c>
      <c r="V122" s="329">
        <f>+(V123)*E122</f>
        <v>0.3</v>
      </c>
      <c r="W122" s="329">
        <f>+(W123)*E122</f>
        <v>0.29547945205479453</v>
      </c>
      <c r="X122" s="284">
        <f>+AVERAGE(X123)</f>
        <v>0.22596078431372549</v>
      </c>
      <c r="Y122" s="284">
        <f>+AVERAGE(Y123)</f>
        <v>0.28235294117647058</v>
      </c>
      <c r="Z122" s="284">
        <f>+(Z123)*E122</f>
        <v>6.7788235294117649E-2</v>
      </c>
      <c r="AA122" s="284">
        <f>+(AA123)</f>
        <v>0.28235294117647058</v>
      </c>
      <c r="AB122" s="285"/>
      <c r="AC122" s="271"/>
      <c r="AD122" s="272"/>
      <c r="AE122" s="275"/>
      <c r="AF122" s="657"/>
    </row>
    <row r="123" spans="1:32" ht="122.4" customHeight="1" thickBot="1" x14ac:dyDescent="0.45">
      <c r="A123" s="276"/>
      <c r="B123" s="896" t="s">
        <v>552</v>
      </c>
      <c r="C123" s="894" t="s">
        <v>553</v>
      </c>
      <c r="D123" s="331" t="s">
        <v>551</v>
      </c>
      <c r="E123" s="286">
        <v>1</v>
      </c>
      <c r="F123" s="287">
        <v>12750</v>
      </c>
      <c r="G123" s="307">
        <v>2750</v>
      </c>
      <c r="H123" s="308">
        <v>730</v>
      </c>
      <c r="I123" s="337">
        <f>+G123/F123</f>
        <v>0.21568627450980393</v>
      </c>
      <c r="J123" s="337">
        <f t="shared" ref="J123" si="69">+H123/F123</f>
        <v>5.7254901960784317E-2</v>
      </c>
      <c r="K123" s="338">
        <f>+(G123/F123)*E123</f>
        <v>0.21568627450980393</v>
      </c>
      <c r="L123" s="338">
        <f t="shared" ref="L123" si="70">+(H123/F123)*E123</f>
        <v>5.7254901960784317E-2</v>
      </c>
      <c r="M123" s="292">
        <v>2881</v>
      </c>
      <c r="N123" s="293">
        <v>223</v>
      </c>
      <c r="O123" s="293">
        <f>610-N123</f>
        <v>387</v>
      </c>
      <c r="P123" s="293">
        <v>109</v>
      </c>
      <c r="Q123" s="292"/>
      <c r="R123" s="292">
        <f t="shared" ref="R123" si="71">+N123+O123+P123+Q123</f>
        <v>719</v>
      </c>
      <c r="S123" s="292">
        <f t="shared" ref="S123" si="72">+R123+M123</f>
        <v>3600</v>
      </c>
      <c r="T123" s="294">
        <v>1</v>
      </c>
      <c r="U123" s="295">
        <f t="shared" ref="U123" si="73">+R123/H123</f>
        <v>0.98493150684931507</v>
      </c>
      <c r="V123" s="295">
        <f>+T123*E123</f>
        <v>1</v>
      </c>
      <c r="W123" s="295">
        <f t="shared" si="67"/>
        <v>0.98493150684931507</v>
      </c>
      <c r="X123" s="295">
        <f>+M123/F123</f>
        <v>0.22596078431372549</v>
      </c>
      <c r="Y123" s="295">
        <f t="shared" si="68"/>
        <v>0.28235294117647058</v>
      </c>
      <c r="Z123" s="295">
        <f>+X123*E123</f>
        <v>0.22596078431372549</v>
      </c>
      <c r="AA123" s="295">
        <f>+Y123*E123</f>
        <v>0.28235294117647058</v>
      </c>
      <c r="AB123" s="296" t="s">
        <v>1775</v>
      </c>
      <c r="AC123" s="655" t="s">
        <v>1799</v>
      </c>
      <c r="AD123" s="655" t="s">
        <v>1860</v>
      </c>
      <c r="AE123" s="602" t="s">
        <v>1867</v>
      </c>
      <c r="AF123" s="860" t="s">
        <v>1891</v>
      </c>
    </row>
    <row r="124" spans="1:32" ht="122.4" customHeight="1" thickBot="1" x14ac:dyDescent="0.45">
      <c r="A124" s="276"/>
      <c r="B124" s="955" t="s">
        <v>1591</v>
      </c>
      <c r="C124" s="957"/>
      <c r="D124" s="331"/>
      <c r="E124" s="282">
        <v>0.2</v>
      </c>
      <c r="F124" s="287"/>
      <c r="G124" s="307"/>
      <c r="H124" s="308"/>
      <c r="I124" s="304">
        <f>+AVERAGE(I125)</f>
        <v>0.33</v>
      </c>
      <c r="J124" s="304">
        <f>+AVERAGE(J125)</f>
        <v>0.2</v>
      </c>
      <c r="K124" s="305">
        <f>+K125</f>
        <v>0.33</v>
      </c>
      <c r="L124" s="305">
        <f>+L125</f>
        <v>0.2</v>
      </c>
      <c r="M124" s="292"/>
      <c r="N124" s="292"/>
      <c r="O124" s="292"/>
      <c r="P124" s="292"/>
      <c r="Q124" s="292"/>
      <c r="R124" s="292"/>
      <c r="S124" s="292"/>
      <c r="T124" s="525">
        <f>+AVERAGE(T125)</f>
        <v>0.59333333333333338</v>
      </c>
      <c r="U124" s="525">
        <f>+AVERAGE(U125)</f>
        <v>0.36</v>
      </c>
      <c r="V124" s="329">
        <f>+(V125)*E124</f>
        <v>0.11866666666666668</v>
      </c>
      <c r="W124" s="329">
        <f>+(W125)*E124</f>
        <v>7.1999999999999995E-2</v>
      </c>
      <c r="X124" s="284">
        <f>+AVERAGE(X125)</f>
        <v>0.1958</v>
      </c>
      <c r="Y124" s="284">
        <f>+AVERAGE(Y125)</f>
        <v>0.26779999999999998</v>
      </c>
      <c r="Z124" s="284">
        <f>+(Z125)*E124</f>
        <v>3.916E-2</v>
      </c>
      <c r="AA124" s="284">
        <f>+(AA125)</f>
        <v>0.26779999999999998</v>
      </c>
      <c r="AB124" s="285"/>
      <c r="AC124" s="271"/>
      <c r="AD124" s="272"/>
      <c r="AE124" s="275"/>
      <c r="AF124" s="275"/>
    </row>
    <row r="125" spans="1:32" ht="122.4" customHeight="1" thickBot="1" x14ac:dyDescent="0.45">
      <c r="A125" s="276"/>
      <c r="B125" s="896" t="s">
        <v>554</v>
      </c>
      <c r="C125" s="894" t="s">
        <v>555</v>
      </c>
      <c r="D125" s="331" t="s">
        <v>551</v>
      </c>
      <c r="E125" s="286">
        <v>1</v>
      </c>
      <c r="F125" s="287">
        <v>5000</v>
      </c>
      <c r="G125" s="307">
        <v>1650</v>
      </c>
      <c r="H125" s="308">
        <v>1000</v>
      </c>
      <c r="I125" s="297">
        <f>+G125/F125</f>
        <v>0.33</v>
      </c>
      <c r="J125" s="297">
        <f t="shared" ref="J125" si="74">+H125/F125</f>
        <v>0.2</v>
      </c>
      <c r="K125" s="298">
        <f>+(G125/F125)*E125</f>
        <v>0.33</v>
      </c>
      <c r="L125" s="298">
        <f t="shared" ref="L125" si="75">+(H125/F125)*E125</f>
        <v>0.2</v>
      </c>
      <c r="M125" s="292">
        <v>979</v>
      </c>
      <c r="N125" s="293">
        <v>226</v>
      </c>
      <c r="O125" s="293">
        <v>35</v>
      </c>
      <c r="P125" s="293">
        <v>99</v>
      </c>
      <c r="Q125" s="292"/>
      <c r="R125" s="292">
        <f t="shared" ref="R125" si="76">+N125+O125+P125+Q125</f>
        <v>360</v>
      </c>
      <c r="S125" s="292">
        <f t="shared" ref="S125" si="77">+R125+M125</f>
        <v>1339</v>
      </c>
      <c r="T125" s="294">
        <f>+(M125/G125)</f>
        <v>0.59333333333333338</v>
      </c>
      <c r="U125" s="295">
        <f>+R125/H125</f>
        <v>0.36</v>
      </c>
      <c r="V125" s="295">
        <f>+T125*E125</f>
        <v>0.59333333333333338</v>
      </c>
      <c r="W125" s="295">
        <f>+U125*E125</f>
        <v>0.36</v>
      </c>
      <c r="X125" s="295">
        <f>+M125/F125</f>
        <v>0.1958</v>
      </c>
      <c r="Y125" s="295">
        <f t="shared" si="68"/>
        <v>0.26779999999999998</v>
      </c>
      <c r="Z125" s="295">
        <f>+X125*E125</f>
        <v>0.1958</v>
      </c>
      <c r="AA125" s="295">
        <f>+Y125*E125</f>
        <v>0.26779999999999998</v>
      </c>
      <c r="AB125" s="296" t="s">
        <v>1775</v>
      </c>
      <c r="AC125" s="655" t="s">
        <v>1799</v>
      </c>
      <c r="AD125" s="655" t="s">
        <v>1860</v>
      </c>
      <c r="AE125" s="602" t="s">
        <v>1867</v>
      </c>
      <c r="AF125" s="860" t="s">
        <v>1892</v>
      </c>
    </row>
    <row r="126" spans="1:32" ht="122.4" customHeight="1" thickBot="1" x14ac:dyDescent="0.45">
      <c r="A126" s="276"/>
      <c r="B126" s="955" t="s">
        <v>1592</v>
      </c>
      <c r="C126" s="957"/>
      <c r="D126" s="331"/>
      <c r="E126" s="282">
        <v>0.2</v>
      </c>
      <c r="F126" s="287"/>
      <c r="G126" s="307"/>
      <c r="H126" s="308"/>
      <c r="I126" s="304">
        <f>+AVERAGE(I127:I129)</f>
        <v>0.12333333333333334</v>
      </c>
      <c r="J126" s="304">
        <f>+AVERAGE(J127:J129)</f>
        <v>0.29577777777777775</v>
      </c>
      <c r="K126" s="305">
        <f>+K127+K128+K129</f>
        <v>8.5999999999999993E-2</v>
      </c>
      <c r="L126" s="305">
        <f>+L127+L128+L129</f>
        <v>0.30786666666666662</v>
      </c>
      <c r="M126" s="292"/>
      <c r="N126" s="306"/>
      <c r="O126" s="306"/>
      <c r="P126" s="306"/>
      <c r="Q126" s="306"/>
      <c r="R126" s="306"/>
      <c r="S126" s="306"/>
      <c r="T126" s="525">
        <f>+AVERAGE(T127:T129)</f>
        <v>0.9</v>
      </c>
      <c r="U126" s="525">
        <f>+AVERAGE(U127:U129)</f>
        <v>0.39166666666666661</v>
      </c>
      <c r="V126" s="329">
        <f>+(V127+V128+V129)*E126</f>
        <v>8.8000000000000009E-2</v>
      </c>
      <c r="W126" s="329">
        <f>+(W127+W128+W129)*E126</f>
        <v>8.9100000000000013E-2</v>
      </c>
      <c r="X126" s="284">
        <f>+AVERAGE(X127:X129)</f>
        <v>0.11533333333333333</v>
      </c>
      <c r="Y126" s="284">
        <f>+AVERAGE(Y127:Y129)</f>
        <v>0.23448888888888889</v>
      </c>
      <c r="Z126" s="284">
        <f>+(Z127+Z128+Z129)*E126</f>
        <v>1.5760000000000003E-2</v>
      </c>
      <c r="AA126" s="284">
        <f>+(AA127+AA128+AA129)</f>
        <v>0.21987333333333331</v>
      </c>
      <c r="AB126" s="285"/>
      <c r="AC126" s="271"/>
      <c r="AD126" s="272"/>
      <c r="AE126" s="275"/>
      <c r="AF126" s="272"/>
    </row>
    <row r="127" spans="1:32" ht="122.4" customHeight="1" thickBot="1" x14ac:dyDescent="0.45">
      <c r="A127" s="276"/>
      <c r="B127" s="896" t="s">
        <v>556</v>
      </c>
      <c r="C127" s="894" t="s">
        <v>557</v>
      </c>
      <c r="D127" s="331" t="s">
        <v>551</v>
      </c>
      <c r="E127" s="286">
        <v>0.3</v>
      </c>
      <c r="F127" s="287">
        <v>5</v>
      </c>
      <c r="G127" s="307">
        <v>0.6</v>
      </c>
      <c r="H127" s="308">
        <v>1.52</v>
      </c>
      <c r="I127" s="297">
        <f>+G127/F127</f>
        <v>0.12</v>
      </c>
      <c r="J127" s="297">
        <f t="shared" ref="J127:J129" si="78">+H127/F127</f>
        <v>0.30399999999999999</v>
      </c>
      <c r="K127" s="298">
        <f>+(G127/F127)*E127</f>
        <v>3.5999999999999997E-2</v>
      </c>
      <c r="L127" s="298">
        <f t="shared" ref="L127:L129" si="79">+(H127/F127)*E127</f>
        <v>9.1199999999999989E-2</v>
      </c>
      <c r="M127" s="292">
        <v>0.48</v>
      </c>
      <c r="N127" s="293">
        <v>0</v>
      </c>
      <c r="O127" s="293">
        <v>0.24</v>
      </c>
      <c r="P127" s="293">
        <v>6.4000000000000001E-2</v>
      </c>
      <c r="Q127" s="292"/>
      <c r="R127" s="292">
        <f t="shared" ref="R127:R129" si="80">+N127+O127+P127+Q127</f>
        <v>0.30399999999999999</v>
      </c>
      <c r="S127" s="292">
        <f t="shared" ref="S127:S129" si="81">+R127+M127</f>
        <v>0.78400000000000003</v>
      </c>
      <c r="T127" s="294">
        <f>+(M127/G127)</f>
        <v>0.8</v>
      </c>
      <c r="U127" s="295">
        <f t="shared" ref="U127:U129" si="82">+R127/H127</f>
        <v>0.19999999999999998</v>
      </c>
      <c r="V127" s="295">
        <f>+T127*E127</f>
        <v>0.24</v>
      </c>
      <c r="W127" s="295">
        <f>+U127*E127</f>
        <v>5.9999999999999991E-2</v>
      </c>
      <c r="X127" s="295">
        <f>+M127/F127</f>
        <v>9.6000000000000002E-2</v>
      </c>
      <c r="Y127" s="295">
        <f t="shared" si="68"/>
        <v>0.15679999999999999</v>
      </c>
      <c r="Z127" s="295">
        <f>+X127*E127</f>
        <v>2.8799999999999999E-2</v>
      </c>
      <c r="AA127" s="295">
        <f>+Y127*E127</f>
        <v>4.7039999999999998E-2</v>
      </c>
      <c r="AB127" s="296" t="s">
        <v>1775</v>
      </c>
      <c r="AC127" s="655" t="s">
        <v>1799</v>
      </c>
      <c r="AD127" s="655" t="s">
        <v>1860</v>
      </c>
      <c r="AE127" s="605" t="s">
        <v>1867</v>
      </c>
      <c r="AF127" s="602" t="s">
        <v>1897</v>
      </c>
    </row>
    <row r="128" spans="1:32" ht="122.4" customHeight="1" thickBot="1" x14ac:dyDescent="0.45">
      <c r="A128" s="276"/>
      <c r="B128" s="897" t="s">
        <v>558</v>
      </c>
      <c r="C128" s="893" t="s">
        <v>559</v>
      </c>
      <c r="D128" s="331" t="s">
        <v>560</v>
      </c>
      <c r="E128" s="286">
        <v>0.5</v>
      </c>
      <c r="F128" s="287">
        <v>6</v>
      </c>
      <c r="G128" s="307">
        <v>0</v>
      </c>
      <c r="H128" s="308">
        <v>2</v>
      </c>
      <c r="I128" s="337">
        <v>0</v>
      </c>
      <c r="J128" s="337">
        <f t="shared" si="78"/>
        <v>0.33333333333333331</v>
      </c>
      <c r="K128" s="298"/>
      <c r="L128" s="298">
        <f t="shared" si="79"/>
        <v>0.16666666666666666</v>
      </c>
      <c r="M128" s="292"/>
      <c r="N128" s="293">
        <v>0</v>
      </c>
      <c r="O128" s="293">
        <v>1.24</v>
      </c>
      <c r="P128" s="293">
        <v>0.03</v>
      </c>
      <c r="Q128" s="292"/>
      <c r="R128" s="292">
        <f t="shared" si="80"/>
        <v>1.27</v>
      </c>
      <c r="S128" s="292">
        <f t="shared" si="81"/>
        <v>1.27</v>
      </c>
      <c r="T128" s="294"/>
      <c r="U128" s="295">
        <f>+R128/H128</f>
        <v>0.63500000000000001</v>
      </c>
      <c r="V128" s="295"/>
      <c r="W128" s="295">
        <f>+U128*E128</f>
        <v>0.3175</v>
      </c>
      <c r="X128" s="527">
        <v>0</v>
      </c>
      <c r="Y128" s="295">
        <f>+S128/F128</f>
        <v>0.21166666666666667</v>
      </c>
      <c r="Z128" s="295"/>
      <c r="AA128" s="295">
        <f>+Y128*E128</f>
        <v>0.10583333333333333</v>
      </c>
      <c r="AB128" s="296" t="s">
        <v>1775</v>
      </c>
      <c r="AC128" s="604" t="s">
        <v>1810</v>
      </c>
      <c r="AD128" s="271"/>
      <c r="AE128" s="605" t="s">
        <v>1867</v>
      </c>
      <c r="AF128" s="860" t="s">
        <v>1893</v>
      </c>
    </row>
    <row r="129" spans="1:32" ht="122.4" customHeight="1" thickBot="1" x14ac:dyDescent="0.45">
      <c r="A129" s="276"/>
      <c r="B129" s="896" t="s">
        <v>561</v>
      </c>
      <c r="C129" s="894" t="s">
        <v>562</v>
      </c>
      <c r="D129" s="624" t="s">
        <v>551</v>
      </c>
      <c r="E129" s="286">
        <v>0.2</v>
      </c>
      <c r="F129" s="287">
        <v>4</v>
      </c>
      <c r="G129" s="307">
        <v>1</v>
      </c>
      <c r="H129" s="308">
        <v>1</v>
      </c>
      <c r="I129" s="297">
        <f>+G129/F129</f>
        <v>0.25</v>
      </c>
      <c r="J129" s="297">
        <f t="shared" si="78"/>
        <v>0.25</v>
      </c>
      <c r="K129" s="298">
        <f>+(G129/F129)*E129</f>
        <v>0.05</v>
      </c>
      <c r="L129" s="298">
        <f t="shared" si="79"/>
        <v>0.05</v>
      </c>
      <c r="M129" s="339">
        <v>1</v>
      </c>
      <c r="N129" s="526">
        <v>0</v>
      </c>
      <c r="O129" s="526">
        <v>0.22</v>
      </c>
      <c r="P129" s="293">
        <v>0.12</v>
      </c>
      <c r="Q129" s="339"/>
      <c r="R129" s="339">
        <f t="shared" si="80"/>
        <v>0.33999999999999997</v>
      </c>
      <c r="S129" s="339">
        <f t="shared" si="81"/>
        <v>1.3399999999999999</v>
      </c>
      <c r="T129" s="294">
        <f>+(M129/G129)</f>
        <v>1</v>
      </c>
      <c r="U129" s="295">
        <f t="shared" si="82"/>
        <v>0.33999999999999997</v>
      </c>
      <c r="V129" s="295">
        <f>+T129*E129</f>
        <v>0.2</v>
      </c>
      <c r="W129" s="295">
        <f t="shared" si="67"/>
        <v>6.7999999999999991E-2</v>
      </c>
      <c r="X129" s="295">
        <f>+M129/F129</f>
        <v>0.25</v>
      </c>
      <c r="Y129" s="295">
        <f t="shared" si="68"/>
        <v>0.33499999999999996</v>
      </c>
      <c r="Z129" s="295">
        <f>+X129*E129</f>
        <v>0.05</v>
      </c>
      <c r="AA129" s="295">
        <f>+Y129*E129</f>
        <v>6.699999999999999E-2</v>
      </c>
      <c r="AB129" s="296" t="s">
        <v>1775</v>
      </c>
      <c r="AC129" s="655" t="s">
        <v>1799</v>
      </c>
      <c r="AD129" s="655" t="s">
        <v>1860</v>
      </c>
      <c r="AE129" s="602" t="s">
        <v>1867</v>
      </c>
      <c r="AF129" s="602" t="s">
        <v>1897</v>
      </c>
    </row>
    <row r="130" spans="1:32" ht="150.6" customHeight="1" thickBot="1" x14ac:dyDescent="0.45">
      <c r="A130" s="276"/>
      <c r="B130" s="960" t="s">
        <v>1593</v>
      </c>
      <c r="C130" s="957"/>
      <c r="D130" s="340"/>
      <c r="E130" s="323">
        <v>0.15</v>
      </c>
      <c r="F130" s="324">
        <f>+E130*V130</f>
        <v>8.7450000000000014E-2</v>
      </c>
      <c r="G130" s="303"/>
      <c r="H130" s="278">
        <f>+E130*W130</f>
        <v>0.10796439009287925</v>
      </c>
      <c r="I130" s="334">
        <f>+(I131+I140+I145+I148+I154+I160)/5</f>
        <v>0.22655250131358057</v>
      </c>
      <c r="J130" s="334">
        <f>+(J131+J140+J145+J148+J154+J160)/6</f>
        <v>0.40396612216494382</v>
      </c>
      <c r="K130" s="335">
        <f>+(K131+K140+K145+K148+K154+K160)/5</f>
        <v>0.2503571688629197</v>
      </c>
      <c r="L130" s="335">
        <f>+(L131+L140+L145+L148+L154+L160)/6</f>
        <v>0.34713104798682154</v>
      </c>
      <c r="M130" s="308"/>
      <c r="N130" s="308"/>
      <c r="O130" s="308"/>
      <c r="P130" s="308"/>
      <c r="Q130" s="308"/>
      <c r="R130" s="308"/>
      <c r="S130" s="308"/>
      <c r="T130" s="341">
        <f>+(T131+T140+T145+T148+T154+T160)/5</f>
        <v>0.84071428571428586</v>
      </c>
      <c r="U130" s="280">
        <f>+(U131+U140+U145+U148+U154+U160)/6</f>
        <v>0.68323439829148036</v>
      </c>
      <c r="V130" s="342">
        <f>+V131+V140+V145+V148+V154+V160</f>
        <v>0.58300000000000007</v>
      </c>
      <c r="W130" s="342">
        <f>+W131+W140+W145+W148+W154+W160</f>
        <v>0.71976260061919506</v>
      </c>
      <c r="X130" s="280">
        <f>(X131+X140+X145+X148+X154+X160)/5</f>
        <v>0.21359110642145068</v>
      </c>
      <c r="Y130" s="280">
        <f>(Y131+Y140+Y145+Y148+Y154+Y160)/5</f>
        <v>0.58519201155923795</v>
      </c>
      <c r="Z130" s="342">
        <f>(Z131+Z140+Z145+Z148+Z154+Z160)</f>
        <v>0.17679704653535339</v>
      </c>
      <c r="AA130" s="342">
        <f>(AA131*E131)+(AA140*E140)+(AA145*E145)+(AA148*E148)+(AA154*E154)+(AA160*E160)</f>
        <v>0.45426398681970037</v>
      </c>
      <c r="AB130" s="281"/>
      <c r="AC130" s="709" t="s">
        <v>1845</v>
      </c>
      <c r="AD130" s="272"/>
      <c r="AE130" s="275"/>
      <c r="AF130" s="272"/>
    </row>
    <row r="131" spans="1:32" ht="122.4" customHeight="1" thickBot="1" x14ac:dyDescent="0.45">
      <c r="A131" s="276"/>
      <c r="B131" s="955" t="s">
        <v>1594</v>
      </c>
      <c r="C131" s="957"/>
      <c r="D131" s="631"/>
      <c r="E131" s="282">
        <v>0.3</v>
      </c>
      <c r="F131" s="302"/>
      <c r="G131" s="303"/>
      <c r="H131" s="283"/>
      <c r="I131" s="304">
        <f>+AVERAGE(I132:I139)</f>
        <v>0.10484583990123605</v>
      </c>
      <c r="J131" s="304">
        <f>+AVERAGE(J132:J139)</f>
        <v>0.29872381632299655</v>
      </c>
      <c r="K131" s="305">
        <f>+K132+K133+K134+K135+K136+K137+K138+K139</f>
        <v>6.9160844314598499E-2</v>
      </c>
      <c r="L131" s="305">
        <f>+L132+L133+L134+L135+L136+L137+L138+L139</f>
        <v>0.33846857958759585</v>
      </c>
      <c r="M131" s="308"/>
      <c r="N131" s="344"/>
      <c r="O131" s="344"/>
      <c r="P131" s="344"/>
      <c r="Q131" s="344"/>
      <c r="R131" s="344"/>
      <c r="S131" s="344"/>
      <c r="T131" s="528">
        <f>+AVERAGE(T132:T139)</f>
        <v>0.9285714285714286</v>
      </c>
      <c r="U131" s="329">
        <f>+AVERAGE(U132:U139)</f>
        <v>0.83946486928104569</v>
      </c>
      <c r="V131" s="329">
        <f>+(V132+V133+V134+V135+V136+V137+V138+V139)*E131</f>
        <v>0.19500000000000001</v>
      </c>
      <c r="W131" s="329">
        <f>+(W132+W133+W134+W135+W136+W137+W138+W139)*E131</f>
        <v>0.23408137254901956</v>
      </c>
      <c r="X131" s="284">
        <f>+AVERAGE(X132:X139)</f>
        <v>0.10670553210725324</v>
      </c>
      <c r="Y131" s="284">
        <f>+AVERAGE(Y132:Y139)</f>
        <v>0.49832116890730116</v>
      </c>
      <c r="Z131" s="284">
        <f>+(Z132+Z133+Z134+Z135+Z136+Z137+Z138+Z139)*E131</f>
        <v>2.1309546535353403E-2</v>
      </c>
      <c r="AA131" s="284">
        <f>+(AA132+AA133+AA134+AA135+AA136+AA137+AA138+AA139)</f>
        <v>0.44951236347307505</v>
      </c>
      <c r="AB131" s="285"/>
      <c r="AC131" s="271"/>
      <c r="AD131" s="272"/>
      <c r="AE131" s="272"/>
      <c r="AF131" s="272"/>
    </row>
    <row r="132" spans="1:32" ht="122.4" customHeight="1" thickBot="1" x14ac:dyDescent="0.45">
      <c r="A132" s="276"/>
      <c r="B132" s="896" t="s">
        <v>563</v>
      </c>
      <c r="C132" s="907" t="s">
        <v>564</v>
      </c>
      <c r="D132" s="486" t="s">
        <v>565</v>
      </c>
      <c r="E132" s="286">
        <v>0.15</v>
      </c>
      <c r="F132" s="287">
        <v>306059</v>
      </c>
      <c r="G132" s="754">
        <v>40000</v>
      </c>
      <c r="H132" s="308">
        <v>88693</v>
      </c>
      <c r="I132" s="297">
        <f t="shared" ref="I132:I137" si="83">+G132/F132</f>
        <v>0.13069375512564571</v>
      </c>
      <c r="J132" s="297">
        <f t="shared" ref="J132:J163" si="84">+H132/F132</f>
        <v>0.28979053058397236</v>
      </c>
      <c r="K132" s="298">
        <f t="shared" ref="K132:K137" si="85">+(G132/F132)*E132</f>
        <v>1.9604063268846856E-2</v>
      </c>
      <c r="L132" s="345">
        <f t="shared" ref="L132:L163" si="86">+(H132/F132)*E132</f>
        <v>4.3468579587595854E-2</v>
      </c>
      <c r="M132" s="346">
        <v>47985</v>
      </c>
      <c r="N132" s="526">
        <v>3268</v>
      </c>
      <c r="O132" s="798">
        <v>18520</v>
      </c>
      <c r="P132" s="798">
        <v>87295</v>
      </c>
      <c r="Q132" s="346"/>
      <c r="R132" s="346">
        <f t="shared" ref="R132:R139" si="87">+N132+O132+P132+Q132</f>
        <v>109083</v>
      </c>
      <c r="S132" s="346">
        <f t="shared" ref="S132:S138" si="88">+R132+M132</f>
        <v>157068</v>
      </c>
      <c r="T132" s="347">
        <v>1</v>
      </c>
      <c r="U132" s="295">
        <v>1</v>
      </c>
      <c r="V132" s="295">
        <f t="shared" ref="V132:V137" si="89">+T132*E132</f>
        <v>0.15</v>
      </c>
      <c r="W132" s="295">
        <f t="shared" ref="W132:W163" si="90">+U132*E132</f>
        <v>0.15</v>
      </c>
      <c r="X132" s="295">
        <f t="shared" ref="X132:X137" si="91">+M132/F132</f>
        <v>0.15678349599260274</v>
      </c>
      <c r="Y132" s="295">
        <f t="shared" ref="Y132:Y163" si="92">+S132/F132</f>
        <v>0.51319516825187306</v>
      </c>
      <c r="Z132" s="295">
        <f t="shared" ref="Z132:Z137" si="93">+X132*E132</f>
        <v>2.3517524398890412E-2</v>
      </c>
      <c r="AA132" s="295">
        <f t="shared" ref="AA132:AA138" si="94">+Y132*E132</f>
        <v>7.6979275237780961E-2</v>
      </c>
      <c r="AB132" s="296" t="s">
        <v>1775</v>
      </c>
      <c r="AC132" s="589" t="s">
        <v>1798</v>
      </c>
      <c r="AD132" s="589" t="s">
        <v>1860</v>
      </c>
      <c r="AE132" s="605" t="s">
        <v>1867</v>
      </c>
      <c r="AF132" s="605" t="s">
        <v>1897</v>
      </c>
    </row>
    <row r="133" spans="1:32" ht="132.6" customHeight="1" thickBot="1" x14ac:dyDescent="0.45">
      <c r="A133" s="276"/>
      <c r="B133" s="896" t="s">
        <v>566</v>
      </c>
      <c r="C133" s="907" t="s">
        <v>567</v>
      </c>
      <c r="D133" s="581" t="s">
        <v>565</v>
      </c>
      <c r="E133" s="286">
        <v>0.1</v>
      </c>
      <c r="F133" s="287">
        <f>18*4</f>
        <v>72</v>
      </c>
      <c r="G133" s="307">
        <v>4</v>
      </c>
      <c r="H133" s="308">
        <v>18</v>
      </c>
      <c r="I133" s="297">
        <f t="shared" si="83"/>
        <v>5.5555555555555552E-2</v>
      </c>
      <c r="J133" s="297">
        <f t="shared" si="84"/>
        <v>0.25</v>
      </c>
      <c r="K133" s="298">
        <f t="shared" si="85"/>
        <v>5.5555555555555558E-3</v>
      </c>
      <c r="L133" s="348">
        <f t="shared" si="86"/>
        <v>2.5000000000000001E-2</v>
      </c>
      <c r="M133" s="653">
        <v>2</v>
      </c>
      <c r="N133" s="526">
        <v>4</v>
      </c>
      <c r="O133" s="526">
        <v>14</v>
      </c>
      <c r="P133" s="533">
        <v>0</v>
      </c>
      <c r="Q133" s="308"/>
      <c r="R133" s="308">
        <f t="shared" si="87"/>
        <v>18</v>
      </c>
      <c r="S133" s="308">
        <f t="shared" si="88"/>
        <v>20</v>
      </c>
      <c r="T133" s="347">
        <f>+(M133/G133)</f>
        <v>0.5</v>
      </c>
      <c r="U133" s="295">
        <v>1</v>
      </c>
      <c r="V133" s="295">
        <f t="shared" si="89"/>
        <v>0.05</v>
      </c>
      <c r="W133" s="295">
        <f t="shared" si="90"/>
        <v>0.1</v>
      </c>
      <c r="X133" s="295">
        <f t="shared" si="91"/>
        <v>2.7777777777777776E-2</v>
      </c>
      <c r="Y133" s="295">
        <f>+(M133/18)+(R133/(18*4))</f>
        <v>0.3611111111111111</v>
      </c>
      <c r="Z133" s="295">
        <f t="shared" si="93"/>
        <v>2.7777777777777779E-3</v>
      </c>
      <c r="AA133" s="295">
        <f t="shared" si="94"/>
        <v>3.6111111111111115E-2</v>
      </c>
      <c r="AB133" s="592" t="s">
        <v>1775</v>
      </c>
      <c r="AC133" s="652" t="s">
        <v>1813</v>
      </c>
      <c r="AD133" s="797" t="s">
        <v>1872</v>
      </c>
      <c r="AE133" s="605" t="s">
        <v>1867</v>
      </c>
      <c r="AF133" s="654" t="s">
        <v>1899</v>
      </c>
    </row>
    <row r="134" spans="1:32" ht="122.4" customHeight="1" thickBot="1" x14ac:dyDescent="0.45">
      <c r="A134" s="276"/>
      <c r="B134" s="896" t="s">
        <v>568</v>
      </c>
      <c r="C134" s="907" t="s">
        <v>569</v>
      </c>
      <c r="D134" s="638" t="s">
        <v>565</v>
      </c>
      <c r="E134" s="286">
        <v>0.05</v>
      </c>
      <c r="F134" s="287">
        <f>1800*4</f>
        <v>7200</v>
      </c>
      <c r="G134" s="349">
        <v>375</v>
      </c>
      <c r="H134" s="308">
        <v>1800</v>
      </c>
      <c r="I134" s="297">
        <f t="shared" si="83"/>
        <v>5.2083333333333336E-2</v>
      </c>
      <c r="J134" s="297">
        <f t="shared" si="84"/>
        <v>0.25</v>
      </c>
      <c r="K134" s="298">
        <f t="shared" si="85"/>
        <v>2.604166666666667E-3</v>
      </c>
      <c r="L134" s="348">
        <f t="shared" si="86"/>
        <v>1.2500000000000001E-2</v>
      </c>
      <c r="M134" s="350">
        <v>375</v>
      </c>
      <c r="N134" s="526">
        <v>9</v>
      </c>
      <c r="O134" s="526">
        <v>591</v>
      </c>
      <c r="P134" s="533">
        <v>728</v>
      </c>
      <c r="Q134" s="350"/>
      <c r="R134" s="350">
        <f t="shared" si="87"/>
        <v>1328</v>
      </c>
      <c r="S134" s="350">
        <f t="shared" si="88"/>
        <v>1703</v>
      </c>
      <c r="T134" s="347">
        <v>1</v>
      </c>
      <c r="U134" s="295">
        <f t="shared" ref="U134:U163" si="95">+R134/H134</f>
        <v>0.73777777777777775</v>
      </c>
      <c r="V134" s="301">
        <f t="shared" si="89"/>
        <v>0.05</v>
      </c>
      <c r="W134" s="301">
        <f t="shared" si="90"/>
        <v>3.6888888888888888E-2</v>
      </c>
      <c r="X134" s="295">
        <f t="shared" si="91"/>
        <v>5.2083333333333336E-2</v>
      </c>
      <c r="Y134" s="295">
        <f>+S134/F134</f>
        <v>0.23652777777777778</v>
      </c>
      <c r="Z134" s="295">
        <f t="shared" si="93"/>
        <v>2.604166666666667E-3</v>
      </c>
      <c r="AA134" s="295">
        <f t="shared" si="94"/>
        <v>1.182638888888889E-2</v>
      </c>
      <c r="AB134" s="296" t="s">
        <v>1775</v>
      </c>
      <c r="AC134" s="652" t="s">
        <v>1814</v>
      </c>
      <c r="AD134" s="797" t="s">
        <v>1872</v>
      </c>
      <c r="AE134" s="605" t="s">
        <v>1867</v>
      </c>
      <c r="AF134" s="605" t="s">
        <v>1897</v>
      </c>
    </row>
    <row r="135" spans="1:32" ht="122.4" customHeight="1" thickBot="1" x14ac:dyDescent="0.45">
      <c r="A135" s="276"/>
      <c r="B135" s="897" t="s">
        <v>570</v>
      </c>
      <c r="C135" s="898" t="s">
        <v>571</v>
      </c>
      <c r="D135" s="639" t="s">
        <v>565</v>
      </c>
      <c r="E135" s="286">
        <v>0.1</v>
      </c>
      <c r="F135" s="287">
        <v>1</v>
      </c>
      <c r="G135" s="307">
        <v>0.2</v>
      </c>
      <c r="H135" s="308">
        <v>0.3</v>
      </c>
      <c r="I135" s="356">
        <f t="shared" si="83"/>
        <v>0.2</v>
      </c>
      <c r="J135" s="297">
        <f t="shared" si="84"/>
        <v>0.3</v>
      </c>
      <c r="K135" s="298">
        <f t="shared" si="85"/>
        <v>2.0000000000000004E-2</v>
      </c>
      <c r="L135" s="348">
        <f t="shared" si="86"/>
        <v>0.03</v>
      </c>
      <c r="M135" s="350">
        <v>0.2</v>
      </c>
      <c r="N135" s="526">
        <v>0</v>
      </c>
      <c r="O135" s="526">
        <v>0.625</v>
      </c>
      <c r="P135" s="533">
        <v>3.7499999999999999E-2</v>
      </c>
      <c r="Q135" s="350"/>
      <c r="R135" s="350">
        <f t="shared" si="87"/>
        <v>0.66249999999999998</v>
      </c>
      <c r="S135" s="350">
        <f t="shared" si="88"/>
        <v>0.86250000000000004</v>
      </c>
      <c r="T135" s="347">
        <f>+M135/G135</f>
        <v>1</v>
      </c>
      <c r="U135" s="295">
        <v>1</v>
      </c>
      <c r="V135" s="295">
        <f t="shared" si="89"/>
        <v>0.1</v>
      </c>
      <c r="W135" s="295">
        <f t="shared" si="90"/>
        <v>0.1</v>
      </c>
      <c r="X135" s="295">
        <f t="shared" si="91"/>
        <v>0.2</v>
      </c>
      <c r="Y135" s="295">
        <f t="shared" si="92"/>
        <v>0.86250000000000004</v>
      </c>
      <c r="Z135" s="295">
        <f t="shared" si="93"/>
        <v>2.0000000000000004E-2</v>
      </c>
      <c r="AA135" s="295">
        <f t="shared" si="94"/>
        <v>8.6250000000000007E-2</v>
      </c>
      <c r="AB135" s="296" t="s">
        <v>1775</v>
      </c>
      <c r="AC135" s="654" t="s">
        <v>1815</v>
      </c>
      <c r="AD135" s="272"/>
      <c r="AE135" s="605" t="s">
        <v>1867</v>
      </c>
      <c r="AF135" s="605" t="s">
        <v>1897</v>
      </c>
    </row>
    <row r="136" spans="1:32" ht="122.4" customHeight="1" thickBot="1" x14ac:dyDescent="0.45">
      <c r="A136" s="276"/>
      <c r="B136" s="897" t="s">
        <v>572</v>
      </c>
      <c r="C136" s="898" t="s">
        <v>573</v>
      </c>
      <c r="D136" s="639" t="s">
        <v>565</v>
      </c>
      <c r="E136" s="286">
        <v>0.05</v>
      </c>
      <c r="F136" s="287">
        <v>1</v>
      </c>
      <c r="G136" s="307">
        <v>0.2</v>
      </c>
      <c r="H136" s="820">
        <v>0.3</v>
      </c>
      <c r="I136" s="360">
        <f t="shared" si="83"/>
        <v>0.2</v>
      </c>
      <c r="J136" s="356">
        <f t="shared" si="84"/>
        <v>0.3</v>
      </c>
      <c r="K136" s="298">
        <f t="shared" si="85"/>
        <v>1.0000000000000002E-2</v>
      </c>
      <c r="L136" s="348">
        <f t="shared" si="86"/>
        <v>1.4999999999999999E-2</v>
      </c>
      <c r="M136" s="350">
        <v>0.2</v>
      </c>
      <c r="N136" s="526"/>
      <c r="O136" s="526">
        <v>0.625</v>
      </c>
      <c r="P136" s="533">
        <v>3.7499999999999999E-2</v>
      </c>
      <c r="Q136" s="350"/>
      <c r="R136" s="350">
        <f t="shared" si="87"/>
        <v>0.66249999999999998</v>
      </c>
      <c r="S136" s="350">
        <f t="shared" si="88"/>
        <v>0.86250000000000004</v>
      </c>
      <c r="T136" s="347">
        <f>+M136/G136</f>
        <v>1</v>
      </c>
      <c r="U136" s="295">
        <v>1</v>
      </c>
      <c r="V136" s="295">
        <f t="shared" si="89"/>
        <v>0.05</v>
      </c>
      <c r="W136" s="295">
        <f t="shared" si="90"/>
        <v>0.05</v>
      </c>
      <c r="X136" s="295">
        <f t="shared" si="91"/>
        <v>0.2</v>
      </c>
      <c r="Y136" s="295">
        <f t="shared" si="92"/>
        <v>0.86250000000000004</v>
      </c>
      <c r="Z136" s="295">
        <f t="shared" si="93"/>
        <v>1.0000000000000002E-2</v>
      </c>
      <c r="AA136" s="295">
        <f t="shared" si="94"/>
        <v>4.3125000000000004E-2</v>
      </c>
      <c r="AB136" s="296" t="s">
        <v>1775</v>
      </c>
      <c r="AC136" s="654" t="s">
        <v>1815</v>
      </c>
      <c r="AD136" s="272"/>
      <c r="AE136" s="605" t="s">
        <v>1867</v>
      </c>
      <c r="AF136" s="605" t="s">
        <v>1897</v>
      </c>
    </row>
    <row r="137" spans="1:32" ht="122.4" customHeight="1" thickBot="1" x14ac:dyDescent="0.45">
      <c r="A137" s="276"/>
      <c r="B137" s="897" t="s">
        <v>574</v>
      </c>
      <c r="C137" s="898" t="s">
        <v>575</v>
      </c>
      <c r="D137" s="639" t="s">
        <v>565</v>
      </c>
      <c r="E137" s="286">
        <v>0.2</v>
      </c>
      <c r="F137" s="287">
        <f>34*4</f>
        <v>136</v>
      </c>
      <c r="G137" s="307">
        <v>6</v>
      </c>
      <c r="H137" s="307">
        <v>34</v>
      </c>
      <c r="I137" s="360">
        <f t="shared" si="83"/>
        <v>4.4117647058823532E-2</v>
      </c>
      <c r="J137" s="375">
        <f t="shared" si="84"/>
        <v>0.25</v>
      </c>
      <c r="K137" s="297">
        <f t="shared" si="85"/>
        <v>8.8235294117647075E-3</v>
      </c>
      <c r="L137" s="348">
        <f t="shared" si="86"/>
        <v>0.05</v>
      </c>
      <c r="M137" s="653">
        <v>6</v>
      </c>
      <c r="N137" s="526">
        <v>1</v>
      </c>
      <c r="O137" s="526">
        <v>0</v>
      </c>
      <c r="P137" s="533">
        <v>19</v>
      </c>
      <c r="Q137" s="308"/>
      <c r="R137" s="308">
        <f t="shared" si="87"/>
        <v>20</v>
      </c>
      <c r="S137" s="308">
        <f>+R137+M137+28</f>
        <v>54</v>
      </c>
      <c r="T137" s="347">
        <f>+(M137/G137)</f>
        <v>1</v>
      </c>
      <c r="U137" s="295">
        <f t="shared" si="95"/>
        <v>0.58823529411764708</v>
      </c>
      <c r="V137" s="295">
        <f t="shared" si="89"/>
        <v>0.2</v>
      </c>
      <c r="W137" s="295">
        <f t="shared" si="90"/>
        <v>0.11764705882352942</v>
      </c>
      <c r="X137" s="295">
        <f t="shared" si="91"/>
        <v>4.4117647058823532E-2</v>
      </c>
      <c r="Y137" s="295">
        <f>+(34/(34*4)+(R137/(34*4)))</f>
        <v>0.3970588235294118</v>
      </c>
      <c r="Z137" s="295">
        <f t="shared" si="93"/>
        <v>8.8235294117647075E-3</v>
      </c>
      <c r="AA137" s="295">
        <f t="shared" si="94"/>
        <v>7.9411764705882362E-2</v>
      </c>
      <c r="AB137" s="296" t="s">
        <v>1775</v>
      </c>
      <c r="AC137" s="652" t="s">
        <v>1814</v>
      </c>
      <c r="AD137" s="797" t="s">
        <v>1872</v>
      </c>
      <c r="AE137" s="605" t="s">
        <v>1867</v>
      </c>
      <c r="AF137" s="605" t="s">
        <v>1897</v>
      </c>
    </row>
    <row r="138" spans="1:32" ht="122.4" customHeight="1" thickBot="1" x14ac:dyDescent="0.45">
      <c r="A138" s="276"/>
      <c r="B138" s="897" t="s">
        <v>576</v>
      </c>
      <c r="C138" s="898" t="s">
        <v>577</v>
      </c>
      <c r="D138" s="639" t="s">
        <v>565</v>
      </c>
      <c r="E138" s="286">
        <v>0.3</v>
      </c>
      <c r="F138" s="287">
        <v>2</v>
      </c>
      <c r="G138" s="307">
        <v>0</v>
      </c>
      <c r="H138" s="308">
        <v>1</v>
      </c>
      <c r="I138" s="368"/>
      <c r="J138" s="368">
        <f t="shared" si="84"/>
        <v>0.5</v>
      </c>
      <c r="K138" s="298"/>
      <c r="L138" s="348">
        <f t="shared" si="86"/>
        <v>0.15</v>
      </c>
      <c r="M138" s="308"/>
      <c r="N138" s="526">
        <v>0.57499999999999996</v>
      </c>
      <c r="O138" s="533">
        <v>0.05</v>
      </c>
      <c r="P138" s="533">
        <v>0</v>
      </c>
      <c r="Q138" s="308"/>
      <c r="R138" s="308">
        <f t="shared" si="87"/>
        <v>0.625</v>
      </c>
      <c r="S138" s="308">
        <f t="shared" si="88"/>
        <v>0.625</v>
      </c>
      <c r="T138" s="347"/>
      <c r="U138" s="295">
        <f t="shared" si="95"/>
        <v>0.625</v>
      </c>
      <c r="V138" s="295"/>
      <c r="W138" s="295">
        <f t="shared" si="90"/>
        <v>0.1875</v>
      </c>
      <c r="X138" s="295"/>
      <c r="Y138" s="295">
        <f t="shared" si="92"/>
        <v>0.3125</v>
      </c>
      <c r="Z138" s="295"/>
      <c r="AA138" s="295">
        <f t="shared" si="94"/>
        <v>9.375E-2</v>
      </c>
      <c r="AB138" s="296" t="s">
        <v>1775</v>
      </c>
      <c r="AC138" s="589" t="s">
        <v>1798</v>
      </c>
      <c r="AD138" s="589" t="s">
        <v>1860</v>
      </c>
      <c r="AE138" s="605" t="s">
        <v>1867</v>
      </c>
      <c r="AF138" s="654" t="s">
        <v>1900</v>
      </c>
    </row>
    <row r="139" spans="1:32" ht="122.4" customHeight="1" thickBot="1" x14ac:dyDescent="0.45">
      <c r="A139" s="276"/>
      <c r="B139" s="897" t="s">
        <v>578</v>
      </c>
      <c r="C139" s="898" t="s">
        <v>579</v>
      </c>
      <c r="D139" s="640" t="s">
        <v>565</v>
      </c>
      <c r="E139" s="286">
        <v>0.05</v>
      </c>
      <c r="F139" s="287">
        <f>34*4</f>
        <v>136</v>
      </c>
      <c r="G139" s="307">
        <v>7</v>
      </c>
      <c r="H139" s="308">
        <v>34</v>
      </c>
      <c r="I139" s="297">
        <f>+G139/F139</f>
        <v>5.1470588235294115E-2</v>
      </c>
      <c r="J139" s="297">
        <f t="shared" si="84"/>
        <v>0.25</v>
      </c>
      <c r="K139" s="298">
        <f>+(G139/F139)*E139</f>
        <v>2.5735294117647058E-3</v>
      </c>
      <c r="L139" s="348">
        <f t="shared" si="86"/>
        <v>1.2500000000000001E-2</v>
      </c>
      <c r="M139" s="308">
        <v>9</v>
      </c>
      <c r="N139" s="526">
        <v>18</v>
      </c>
      <c r="O139" s="533">
        <v>2</v>
      </c>
      <c r="P139" s="533">
        <v>6</v>
      </c>
      <c r="Q139" s="308"/>
      <c r="R139" s="308">
        <f t="shared" si="87"/>
        <v>26</v>
      </c>
      <c r="S139" s="308">
        <f>+R139+M139+25</f>
        <v>60</v>
      </c>
      <c r="T139" s="347">
        <v>1</v>
      </c>
      <c r="U139" s="295">
        <f t="shared" si="95"/>
        <v>0.76470588235294112</v>
      </c>
      <c r="V139" s="295">
        <f>+T139*E139</f>
        <v>0.05</v>
      </c>
      <c r="W139" s="295">
        <f t="shared" si="90"/>
        <v>3.8235294117647062E-2</v>
      </c>
      <c r="X139" s="295">
        <f>+M139/F139</f>
        <v>6.6176470588235295E-2</v>
      </c>
      <c r="Y139" s="295">
        <f>+(34/(34*4)+((R139/(34*4))))</f>
        <v>0.44117647058823528</v>
      </c>
      <c r="Z139" s="295">
        <f>+X139*E139</f>
        <v>3.3088235294117651E-3</v>
      </c>
      <c r="AA139" s="295">
        <f>+Y139*E139</f>
        <v>2.2058823529411766E-2</v>
      </c>
      <c r="AB139" s="296" t="s">
        <v>1775</v>
      </c>
      <c r="AC139" s="654" t="s">
        <v>1816</v>
      </c>
      <c r="AD139" s="797" t="s">
        <v>1872</v>
      </c>
      <c r="AE139" s="605" t="s">
        <v>1867</v>
      </c>
      <c r="AF139" s="654" t="s">
        <v>1901</v>
      </c>
    </row>
    <row r="140" spans="1:32" ht="122.4" customHeight="1" thickBot="1" x14ac:dyDescent="0.45">
      <c r="A140" s="276"/>
      <c r="B140" s="955" t="s">
        <v>1595</v>
      </c>
      <c r="C140" s="957"/>
      <c r="D140" s="630"/>
      <c r="E140" s="282">
        <v>0.1</v>
      </c>
      <c r="F140" s="287"/>
      <c r="G140" s="307"/>
      <c r="H140" s="308"/>
      <c r="I140" s="304">
        <f>+AVERAGE(I141:I144)</f>
        <v>0.22499999999999998</v>
      </c>
      <c r="J140" s="304">
        <f>+AVERAGE(J141:J144)</f>
        <v>0.29166666666666663</v>
      </c>
      <c r="K140" s="305">
        <f>+K141+K142+K143+K144</f>
        <v>0.23583333333333334</v>
      </c>
      <c r="L140" s="305">
        <f>+L141+L142+L143+L144</f>
        <v>0.27083333333333331</v>
      </c>
      <c r="M140" s="308"/>
      <c r="N140" s="344"/>
      <c r="O140" s="344"/>
      <c r="P140" s="344"/>
      <c r="Q140" s="344"/>
      <c r="R140" s="344"/>
      <c r="S140" s="344"/>
      <c r="T140" s="528">
        <f>+AVERAGE(T141:T144)</f>
        <v>0.75</v>
      </c>
      <c r="U140" s="329">
        <f>+AVERAGE(U141:U144)</f>
        <v>1</v>
      </c>
      <c r="V140" s="329">
        <f>+(V141+V142+V143+V144)*E140</f>
        <v>9.0000000000000011E-2</v>
      </c>
      <c r="W140" s="329">
        <f>+(W141+W142+W143+W144)*E140</f>
        <v>0.1</v>
      </c>
      <c r="X140" s="284">
        <f>+AVERAGE(X141:X144)</f>
        <v>0.36958333333333332</v>
      </c>
      <c r="Y140" s="284">
        <f>+AVERAGE(Y141:Y144)</f>
        <v>0.90749999999999997</v>
      </c>
      <c r="Z140" s="284">
        <f>+(Z141+Z142+Z143+Z144)*E140</f>
        <v>4.7750000000000001E-2</v>
      </c>
      <c r="AA140" s="284">
        <f>+(AA141+AA142+AA143+AA144)</f>
        <v>0.9375</v>
      </c>
      <c r="AB140" s="285"/>
      <c r="AC140" s="588"/>
      <c r="AD140" s="258"/>
      <c r="AE140" s="258"/>
      <c r="AF140" s="258"/>
    </row>
    <row r="141" spans="1:32" ht="122.4" customHeight="1" thickBot="1" x14ac:dyDescent="0.45">
      <c r="A141" s="276"/>
      <c r="B141" s="897" t="s">
        <v>580</v>
      </c>
      <c r="C141" s="898" t="s">
        <v>581</v>
      </c>
      <c r="D141" s="641" t="s">
        <v>565</v>
      </c>
      <c r="E141" s="286">
        <v>0.5</v>
      </c>
      <c r="F141" s="287">
        <v>1000</v>
      </c>
      <c r="G141" s="307">
        <v>250</v>
      </c>
      <c r="H141" s="308">
        <v>250</v>
      </c>
      <c r="I141" s="297">
        <f>+G141/F141</f>
        <v>0.25</v>
      </c>
      <c r="J141" s="297">
        <f t="shared" si="84"/>
        <v>0.25</v>
      </c>
      <c r="K141" s="298">
        <f>+(G141/F141)*E141</f>
        <v>0.125</v>
      </c>
      <c r="L141" s="348">
        <f t="shared" si="86"/>
        <v>0.125</v>
      </c>
      <c r="M141" s="308">
        <v>565</v>
      </c>
      <c r="N141" s="533">
        <v>186</v>
      </c>
      <c r="O141" s="533">
        <v>97</v>
      </c>
      <c r="P141" s="533">
        <v>259</v>
      </c>
      <c r="Q141" s="308"/>
      <c r="R141" s="308">
        <f t="shared" ref="R141:R144" si="96">+N141+O141+P141+Q141</f>
        <v>542</v>
      </c>
      <c r="S141" s="308">
        <f t="shared" ref="S141:S144" si="97">+R141+M141</f>
        <v>1107</v>
      </c>
      <c r="T141" s="347">
        <v>1</v>
      </c>
      <c r="U141" s="295">
        <v>1</v>
      </c>
      <c r="V141" s="295">
        <f>+T141*E141</f>
        <v>0.5</v>
      </c>
      <c r="W141" s="295">
        <f t="shared" si="90"/>
        <v>0.5</v>
      </c>
      <c r="X141" s="295">
        <f>+M141/F141</f>
        <v>0.56499999999999995</v>
      </c>
      <c r="Y141" s="295">
        <v>1</v>
      </c>
      <c r="Z141" s="295">
        <f>+X141*E141</f>
        <v>0.28249999999999997</v>
      </c>
      <c r="AA141" s="295">
        <f>+Y141*E141</f>
        <v>0.5</v>
      </c>
      <c r="AB141" s="592" t="s">
        <v>1775</v>
      </c>
      <c r="AC141" s="869" t="s">
        <v>1798</v>
      </c>
      <c r="AD141" s="870" t="s">
        <v>1860</v>
      </c>
      <c r="AE141" s="605" t="s">
        <v>1867</v>
      </c>
      <c r="AF141" s="654" t="s">
        <v>1902</v>
      </c>
    </row>
    <row r="142" spans="1:32" ht="122.4" customHeight="1" thickBot="1" x14ac:dyDescent="0.45">
      <c r="A142" s="276"/>
      <c r="B142" s="896" t="s">
        <v>582</v>
      </c>
      <c r="C142" s="893" t="s">
        <v>583</v>
      </c>
      <c r="D142" s="642" t="s">
        <v>565</v>
      </c>
      <c r="E142" s="315">
        <v>0.25</v>
      </c>
      <c r="F142" s="287">
        <v>100</v>
      </c>
      <c r="G142" s="307">
        <v>25</v>
      </c>
      <c r="H142" s="308">
        <v>25</v>
      </c>
      <c r="I142" s="297">
        <f>+G142/F142</f>
        <v>0.25</v>
      </c>
      <c r="J142" s="297">
        <f t="shared" si="84"/>
        <v>0.25</v>
      </c>
      <c r="K142" s="298">
        <f>+(G142/F142)*E142</f>
        <v>6.25E-2</v>
      </c>
      <c r="L142" s="348">
        <f t="shared" si="86"/>
        <v>6.25E-2</v>
      </c>
      <c r="M142" s="308">
        <v>58</v>
      </c>
      <c r="N142" s="533">
        <v>13</v>
      </c>
      <c r="O142" s="533">
        <v>1</v>
      </c>
      <c r="P142" s="533">
        <v>11</v>
      </c>
      <c r="Q142" s="308"/>
      <c r="R142" s="308">
        <f t="shared" si="96"/>
        <v>25</v>
      </c>
      <c r="S142" s="308">
        <f t="shared" si="97"/>
        <v>83</v>
      </c>
      <c r="T142" s="347">
        <v>1</v>
      </c>
      <c r="U142" s="295">
        <f t="shared" si="95"/>
        <v>1</v>
      </c>
      <c r="V142" s="295">
        <f>+T142*E142</f>
        <v>0.25</v>
      </c>
      <c r="W142" s="295">
        <f t="shared" si="90"/>
        <v>0.25</v>
      </c>
      <c r="X142" s="295">
        <f>+M142/F142</f>
        <v>0.57999999999999996</v>
      </c>
      <c r="Y142" s="295">
        <f t="shared" si="92"/>
        <v>0.83</v>
      </c>
      <c r="Z142" s="295">
        <f>+X142*E142</f>
        <v>0.14499999999999999</v>
      </c>
      <c r="AA142" s="295">
        <f>+Y142*E142</f>
        <v>0.20749999999999999</v>
      </c>
      <c r="AB142" s="592" t="s">
        <v>1775</v>
      </c>
      <c r="AC142" s="799" t="s">
        <v>1817</v>
      </c>
      <c r="AD142" s="797" t="s">
        <v>1872</v>
      </c>
      <c r="AE142" s="605" t="s">
        <v>1867</v>
      </c>
      <c r="AF142" s="605" t="s">
        <v>1897</v>
      </c>
    </row>
    <row r="143" spans="1:32" ht="122.4" customHeight="1" thickBot="1" x14ac:dyDescent="0.45">
      <c r="A143" s="276"/>
      <c r="B143" s="896" t="s">
        <v>584</v>
      </c>
      <c r="C143" s="894" t="s">
        <v>585</v>
      </c>
      <c r="D143" s="641" t="s">
        <v>565</v>
      </c>
      <c r="E143" s="286">
        <v>0.15</v>
      </c>
      <c r="F143" s="287">
        <v>6</v>
      </c>
      <c r="G143" s="307">
        <v>1</v>
      </c>
      <c r="H143" s="308">
        <v>2</v>
      </c>
      <c r="I143" s="297">
        <f>+G143/F143</f>
        <v>0.16666666666666666</v>
      </c>
      <c r="J143" s="297">
        <f t="shared" si="84"/>
        <v>0.33333333333333331</v>
      </c>
      <c r="K143" s="298">
        <f>+(G143/F143)*E143</f>
        <v>2.4999999999999998E-2</v>
      </c>
      <c r="L143" s="348">
        <f t="shared" si="86"/>
        <v>4.9999999999999996E-2</v>
      </c>
      <c r="M143" s="308">
        <v>2</v>
      </c>
      <c r="N143" s="533">
        <v>1</v>
      </c>
      <c r="O143" s="533">
        <v>1</v>
      </c>
      <c r="P143" s="533">
        <v>12</v>
      </c>
      <c r="Q143" s="308"/>
      <c r="R143" s="308">
        <f t="shared" si="96"/>
        <v>14</v>
      </c>
      <c r="S143" s="308">
        <f t="shared" si="97"/>
        <v>16</v>
      </c>
      <c r="T143" s="347">
        <v>1</v>
      </c>
      <c r="U143" s="295">
        <v>1</v>
      </c>
      <c r="V143" s="295">
        <f>+T143*E143</f>
        <v>0.15</v>
      </c>
      <c r="W143" s="295">
        <f t="shared" si="90"/>
        <v>0.15</v>
      </c>
      <c r="X143" s="295">
        <f>+M143/F143</f>
        <v>0.33333333333333331</v>
      </c>
      <c r="Y143" s="295">
        <v>1</v>
      </c>
      <c r="Z143" s="295">
        <f>+X143*E143</f>
        <v>4.9999999999999996E-2</v>
      </c>
      <c r="AA143" s="295">
        <f>+Y143*E143</f>
        <v>0.15</v>
      </c>
      <c r="AB143" s="592" t="s">
        <v>1775</v>
      </c>
      <c r="AC143" s="871" t="s">
        <v>1798</v>
      </c>
      <c r="AD143" s="589" t="s">
        <v>1860</v>
      </c>
      <c r="AE143" s="605" t="s">
        <v>1867</v>
      </c>
      <c r="AF143" s="605" t="s">
        <v>1897</v>
      </c>
    </row>
    <row r="144" spans="1:32" ht="122.4" customHeight="1" thickBot="1" x14ac:dyDescent="0.45">
      <c r="A144" s="276"/>
      <c r="B144" s="896" t="s">
        <v>586</v>
      </c>
      <c r="C144" s="894" t="s">
        <v>587</v>
      </c>
      <c r="D144" s="641" t="s">
        <v>565</v>
      </c>
      <c r="E144" s="286">
        <v>0.1</v>
      </c>
      <c r="F144" s="287">
        <v>150</v>
      </c>
      <c r="G144" s="307">
        <v>35</v>
      </c>
      <c r="H144" s="308">
        <v>50</v>
      </c>
      <c r="I144" s="297">
        <f>+G144/F144</f>
        <v>0.23333333333333334</v>
      </c>
      <c r="J144" s="297">
        <f t="shared" si="84"/>
        <v>0.33333333333333331</v>
      </c>
      <c r="K144" s="298">
        <f>+(G144/F144)*E144</f>
        <v>2.3333333333333334E-2</v>
      </c>
      <c r="L144" s="348">
        <f t="shared" si="86"/>
        <v>3.3333333333333333E-2</v>
      </c>
      <c r="M144" s="308">
        <v>0</v>
      </c>
      <c r="N144" s="533">
        <v>0</v>
      </c>
      <c r="O144" s="533">
        <v>120</v>
      </c>
      <c r="P144" s="533">
        <v>0</v>
      </c>
      <c r="Q144" s="308"/>
      <c r="R144" s="308">
        <f t="shared" si="96"/>
        <v>120</v>
      </c>
      <c r="S144" s="308">
        <f t="shared" si="97"/>
        <v>120</v>
      </c>
      <c r="T144" s="370">
        <f>+(M144/G144)</f>
        <v>0</v>
      </c>
      <c r="U144" s="295">
        <v>1</v>
      </c>
      <c r="V144" s="295">
        <f>+T144*E144</f>
        <v>0</v>
      </c>
      <c r="W144" s="295">
        <f t="shared" si="90"/>
        <v>0.1</v>
      </c>
      <c r="X144" s="295">
        <f>+M144/F144</f>
        <v>0</v>
      </c>
      <c r="Y144" s="295">
        <f>+S144/F144</f>
        <v>0.8</v>
      </c>
      <c r="Z144" s="295">
        <f>+X144*E144</f>
        <v>0</v>
      </c>
      <c r="AA144" s="295">
        <f>+Y144*E144</f>
        <v>8.0000000000000016E-2</v>
      </c>
      <c r="AB144" s="592" t="s">
        <v>1775</v>
      </c>
      <c r="AC144" s="872" t="s">
        <v>1798</v>
      </c>
      <c r="AD144" s="873" t="s">
        <v>1860</v>
      </c>
      <c r="AE144" s="602" t="s">
        <v>1867</v>
      </c>
      <c r="AF144" s="602" t="s">
        <v>1897</v>
      </c>
    </row>
    <row r="145" spans="1:32" ht="122.4" customHeight="1" thickBot="1" x14ac:dyDescent="0.45">
      <c r="A145" s="276"/>
      <c r="B145" s="955" t="s">
        <v>1596</v>
      </c>
      <c r="C145" s="957"/>
      <c r="D145" s="331"/>
      <c r="E145" s="282">
        <v>0.1</v>
      </c>
      <c r="F145" s="287"/>
      <c r="G145" s="307"/>
      <c r="H145" s="308"/>
      <c r="I145" s="821">
        <f>+AVERAGE(I146:I147)</f>
        <v>0.15208333333333332</v>
      </c>
      <c r="J145" s="304">
        <f>+AVERAGE(J146:J147)</f>
        <v>0.25</v>
      </c>
      <c r="K145" s="305">
        <f>+K146+K147</f>
        <v>0.24379166666666666</v>
      </c>
      <c r="L145" s="305">
        <f>+L146+L147</f>
        <v>0.25</v>
      </c>
      <c r="M145" s="308"/>
      <c r="N145" s="344"/>
      <c r="O145" s="344"/>
      <c r="P145" s="344"/>
      <c r="Q145" s="344"/>
      <c r="R145" s="344"/>
      <c r="S145" s="344"/>
      <c r="T145" s="329">
        <f>+AVERAGE(T146:T148)</f>
        <v>1</v>
      </c>
      <c r="U145" s="528">
        <f>+AVERAGE(U146:U148)</f>
        <v>0.91222222222222227</v>
      </c>
      <c r="V145" s="329">
        <f>+(V146+V147)*E145</f>
        <v>0.1</v>
      </c>
      <c r="W145" s="329">
        <f>+(W146+W147)*E145</f>
        <v>9.919E-2</v>
      </c>
      <c r="X145" s="284">
        <f>+AVERAGE(X146:X147)</f>
        <v>0.18124999999999999</v>
      </c>
      <c r="Y145" s="284">
        <f>+AVERAGE(Y146:Y147)</f>
        <v>0.67013888888888884</v>
      </c>
      <c r="Z145" s="284">
        <f>+(Z146+Z147)*E145</f>
        <v>2.5487500000000003E-2</v>
      </c>
      <c r="AA145" s="284">
        <f>+(AA146+AA147)</f>
        <v>0.59410277777777776</v>
      </c>
      <c r="AB145" s="285"/>
      <c r="AC145" s="274"/>
      <c r="AD145" s="275"/>
      <c r="AE145" s="275"/>
      <c r="AF145" s="275"/>
    </row>
    <row r="146" spans="1:32" ht="122.4" customHeight="1" thickBot="1" x14ac:dyDescent="0.45">
      <c r="A146" s="276"/>
      <c r="B146" s="896" t="s">
        <v>588</v>
      </c>
      <c r="C146" s="894" t="s">
        <v>589</v>
      </c>
      <c r="D146" s="641" t="s">
        <v>565</v>
      </c>
      <c r="E146" s="286">
        <v>0.19</v>
      </c>
      <c r="F146" s="287">
        <f>1800*4</f>
        <v>7200</v>
      </c>
      <c r="G146" s="307">
        <v>30</v>
      </c>
      <c r="H146" s="307">
        <v>1800</v>
      </c>
      <c r="I146" s="360">
        <f>+G146/F146</f>
        <v>4.1666666666666666E-3</v>
      </c>
      <c r="J146" s="297">
        <f t="shared" si="84"/>
        <v>0.25</v>
      </c>
      <c r="K146" s="298">
        <f>+(G146/F146)*E146</f>
        <v>7.9166666666666665E-4</v>
      </c>
      <c r="L146" s="348">
        <f t="shared" si="86"/>
        <v>4.7500000000000001E-2</v>
      </c>
      <c r="M146" s="308">
        <v>450</v>
      </c>
      <c r="N146" s="533">
        <v>0</v>
      </c>
      <c r="O146" s="533">
        <v>0</v>
      </c>
      <c r="P146" s="533">
        <v>2756</v>
      </c>
      <c r="Q146" s="308"/>
      <c r="R146" s="308">
        <f t="shared" ref="R146:R147" si="98">+N146+O146+P146+Q146</f>
        <v>2756</v>
      </c>
      <c r="S146" s="308">
        <f>+R146+M146+2502</f>
        <v>5708</v>
      </c>
      <c r="T146" s="531">
        <v>1</v>
      </c>
      <c r="U146" s="295">
        <v>1</v>
      </c>
      <c r="V146" s="295">
        <f>+T146*E146</f>
        <v>0.19</v>
      </c>
      <c r="W146" s="295">
        <f t="shared" si="90"/>
        <v>0.19</v>
      </c>
      <c r="X146" s="295">
        <f>+M146/F146</f>
        <v>6.25E-2</v>
      </c>
      <c r="Y146" s="295">
        <f t="shared" si="92"/>
        <v>0.7927777777777778</v>
      </c>
      <c r="Z146" s="295">
        <f>+X146*E146</f>
        <v>1.1875E-2</v>
      </c>
      <c r="AA146" s="295">
        <f>+Y146*E146</f>
        <v>0.15062777777777778</v>
      </c>
      <c r="AB146" s="296" t="s">
        <v>1775</v>
      </c>
      <c r="AC146" s="654" t="s">
        <v>1817</v>
      </c>
      <c r="AD146" s="589" t="s">
        <v>1860</v>
      </c>
      <c r="AE146" s="799" t="s">
        <v>1817</v>
      </c>
      <c r="AF146" s="799" t="s">
        <v>1903</v>
      </c>
    </row>
    <row r="147" spans="1:32" ht="122.4" customHeight="1" thickBot="1" x14ac:dyDescent="0.45">
      <c r="A147" s="276"/>
      <c r="B147" s="896" t="s">
        <v>590</v>
      </c>
      <c r="C147" s="894" t="s">
        <v>591</v>
      </c>
      <c r="D147" s="643" t="s">
        <v>565</v>
      </c>
      <c r="E147" s="286">
        <v>0.81</v>
      </c>
      <c r="F147" s="287">
        <v>1</v>
      </c>
      <c r="G147" s="307">
        <v>0.3</v>
      </c>
      <c r="H147" s="308">
        <v>0.25</v>
      </c>
      <c r="I147" s="368">
        <f>+G147/F147</f>
        <v>0.3</v>
      </c>
      <c r="J147" s="297">
        <f t="shared" si="84"/>
        <v>0.25</v>
      </c>
      <c r="K147" s="298">
        <f>+(G147/F147)*E147</f>
        <v>0.24299999999999999</v>
      </c>
      <c r="L147" s="348">
        <f t="shared" si="86"/>
        <v>0.20250000000000001</v>
      </c>
      <c r="M147" s="308">
        <v>0.3</v>
      </c>
      <c r="N147" s="533">
        <v>6.25E-2</v>
      </c>
      <c r="O147" s="533">
        <v>0.185</v>
      </c>
      <c r="P147" s="533">
        <v>0</v>
      </c>
      <c r="Q147" s="308"/>
      <c r="R147" s="308">
        <f t="shared" si="98"/>
        <v>0.2475</v>
      </c>
      <c r="S147" s="308">
        <f t="shared" ref="S147" si="99">+R147+M147</f>
        <v>0.54749999999999999</v>
      </c>
      <c r="T147" s="347">
        <v>1</v>
      </c>
      <c r="U147" s="295">
        <f t="shared" si="95"/>
        <v>0.99</v>
      </c>
      <c r="V147" s="295">
        <f>+T147*E147</f>
        <v>0.81</v>
      </c>
      <c r="W147" s="295">
        <f t="shared" si="90"/>
        <v>0.80190000000000006</v>
      </c>
      <c r="X147" s="295">
        <f>+M147/F147</f>
        <v>0.3</v>
      </c>
      <c r="Y147" s="295">
        <f t="shared" si="92"/>
        <v>0.54749999999999999</v>
      </c>
      <c r="Z147" s="295">
        <f>+X147*E147</f>
        <v>0.24299999999999999</v>
      </c>
      <c r="AA147" s="295">
        <f>+Y147*E147</f>
        <v>0.44347500000000001</v>
      </c>
      <c r="AB147" s="296" t="s">
        <v>1775</v>
      </c>
      <c r="AC147" s="589" t="s">
        <v>1798</v>
      </c>
      <c r="AD147" s="589" t="s">
        <v>1860</v>
      </c>
      <c r="AE147" s="605" t="s">
        <v>1867</v>
      </c>
      <c r="AF147" s="605" t="s">
        <v>1897</v>
      </c>
    </row>
    <row r="148" spans="1:32" ht="122.4" customHeight="1" thickBot="1" x14ac:dyDescent="0.45">
      <c r="A148" s="276"/>
      <c r="B148" s="961" t="s">
        <v>1597</v>
      </c>
      <c r="C148" s="962"/>
      <c r="D148" s="627"/>
      <c r="E148" s="282">
        <v>0.05</v>
      </c>
      <c r="F148" s="287"/>
      <c r="G148" s="307"/>
      <c r="H148" s="308"/>
      <c r="I148" s="304">
        <f>+AVERAGE(I149:I153)</f>
        <v>0.21333333333333335</v>
      </c>
      <c r="J148" s="304">
        <f>+AVERAGE(J149:J153)</f>
        <v>0.57199999999999995</v>
      </c>
      <c r="K148" s="305">
        <f>+K149+K150+K151+K152+K153</f>
        <v>0.128</v>
      </c>
      <c r="L148" s="305">
        <f>+L149+L150+L151+L152+L153</f>
        <v>0.57200000000000006</v>
      </c>
      <c r="M148" s="308"/>
      <c r="N148" s="344"/>
      <c r="O148" s="344"/>
      <c r="P148" s="344"/>
      <c r="Q148" s="344"/>
      <c r="R148" s="344"/>
      <c r="S148" s="344"/>
      <c r="T148" s="528">
        <f>+AVERAGE(T149:T153)</f>
        <v>1</v>
      </c>
      <c r="U148" s="329">
        <f>+AVERAGE(U149:U153)</f>
        <v>0.7466666666666667</v>
      </c>
      <c r="V148" s="329">
        <f>+(V149+V150+V151+V152+V153)*E148</f>
        <v>3.0000000000000006E-2</v>
      </c>
      <c r="W148" s="329">
        <f>+(W149+W150+W151+W152+W153)*E148</f>
        <v>3.7333333333333343E-2</v>
      </c>
      <c r="X148" s="284">
        <f>+AVERAGE(X149:X153)</f>
        <v>0.21666666666666667</v>
      </c>
      <c r="Y148" s="284">
        <f>+AVERAGE(Y149:Y153)</f>
        <v>0.52</v>
      </c>
      <c r="Z148" s="284">
        <f>+(Z149+Z150+Z151+Z152+Z153)*E148</f>
        <v>6.5000000000000006E-3</v>
      </c>
      <c r="AA148" s="284">
        <f>+(AA149+AA150+AA151+AA152+AA153)</f>
        <v>0.52</v>
      </c>
      <c r="AB148" s="285"/>
      <c r="AC148" s="271"/>
      <c r="AD148" s="272"/>
      <c r="AE148" s="272"/>
      <c r="AF148" s="272"/>
    </row>
    <row r="149" spans="1:32" ht="122.4" customHeight="1" thickBot="1" x14ac:dyDescent="0.45">
      <c r="A149" s="276"/>
      <c r="B149" s="903" t="s">
        <v>592</v>
      </c>
      <c r="C149" s="904" t="s">
        <v>593</v>
      </c>
      <c r="D149" s="486" t="s">
        <v>565</v>
      </c>
      <c r="E149" s="286">
        <v>0.2</v>
      </c>
      <c r="F149" s="287">
        <v>1</v>
      </c>
      <c r="G149" s="307">
        <v>7.0000000000000007E-2</v>
      </c>
      <c r="H149" s="308">
        <v>0.48</v>
      </c>
      <c r="I149" s="297">
        <f>+G149/F149</f>
        <v>7.0000000000000007E-2</v>
      </c>
      <c r="J149" s="297">
        <f t="shared" si="84"/>
        <v>0.48</v>
      </c>
      <c r="K149" s="298">
        <f>+(G149/F149)*E149</f>
        <v>1.4000000000000002E-2</v>
      </c>
      <c r="L149" s="348">
        <f t="shared" si="86"/>
        <v>9.6000000000000002E-2</v>
      </c>
      <c r="M149" s="308">
        <v>0.08</v>
      </c>
      <c r="N149" s="533">
        <v>0.12</v>
      </c>
      <c r="O149" s="308">
        <v>0.28000000000000003</v>
      </c>
      <c r="P149" s="533">
        <v>0</v>
      </c>
      <c r="Q149" s="308"/>
      <c r="R149" s="308">
        <f t="shared" ref="R149:R153" si="100">+N149+O149+P149+Q149</f>
        <v>0.4</v>
      </c>
      <c r="S149" s="308">
        <f t="shared" ref="S149:S153" si="101">+R149+M149</f>
        <v>0.48000000000000004</v>
      </c>
      <c r="T149" s="347">
        <v>1</v>
      </c>
      <c r="U149" s="295">
        <f t="shared" si="95"/>
        <v>0.83333333333333337</v>
      </c>
      <c r="V149" s="295">
        <f>+T149*E149</f>
        <v>0.2</v>
      </c>
      <c r="W149" s="295">
        <f t="shared" si="90"/>
        <v>0.16666666666666669</v>
      </c>
      <c r="X149" s="295">
        <f>+M149/F149</f>
        <v>0.08</v>
      </c>
      <c r="Y149" s="295">
        <f t="shared" si="92"/>
        <v>0.48000000000000004</v>
      </c>
      <c r="Z149" s="295">
        <f>+X149*E149</f>
        <v>1.6E-2</v>
      </c>
      <c r="AA149" s="295">
        <f>+Y149*E149</f>
        <v>9.6000000000000016E-2</v>
      </c>
      <c r="AB149" s="296" t="s">
        <v>1775</v>
      </c>
      <c r="AC149" s="589" t="s">
        <v>1798</v>
      </c>
      <c r="AD149" s="589" t="s">
        <v>1860</v>
      </c>
      <c r="AE149" s="605" t="s">
        <v>1867</v>
      </c>
      <c r="AF149" s="605" t="s">
        <v>1897</v>
      </c>
    </row>
    <row r="150" spans="1:32" ht="122.4" customHeight="1" thickBot="1" x14ac:dyDescent="0.45">
      <c r="A150" s="276"/>
      <c r="B150" s="905" t="s">
        <v>594</v>
      </c>
      <c r="C150" s="906" t="s">
        <v>595</v>
      </c>
      <c r="D150" s="644" t="s">
        <v>565</v>
      </c>
      <c r="E150" s="286">
        <v>0.2</v>
      </c>
      <c r="F150" s="287">
        <v>1</v>
      </c>
      <c r="G150" s="307">
        <v>7.0000000000000007E-2</v>
      </c>
      <c r="H150" s="308">
        <v>0.48</v>
      </c>
      <c r="I150" s="297">
        <f>+G150/F150</f>
        <v>7.0000000000000007E-2</v>
      </c>
      <c r="J150" s="297">
        <f t="shared" si="84"/>
        <v>0.48</v>
      </c>
      <c r="K150" s="298">
        <f>+(G150/F150)*E150</f>
        <v>1.4000000000000002E-2</v>
      </c>
      <c r="L150" s="348">
        <f t="shared" si="86"/>
        <v>9.6000000000000002E-2</v>
      </c>
      <c r="M150" s="308">
        <v>7.0000000000000007E-2</v>
      </c>
      <c r="N150" s="533">
        <v>0.12</v>
      </c>
      <c r="O150" s="308">
        <v>0.18</v>
      </c>
      <c r="P150" s="533">
        <v>0</v>
      </c>
      <c r="Q150" s="308"/>
      <c r="R150" s="308">
        <f t="shared" si="100"/>
        <v>0.3</v>
      </c>
      <c r="S150" s="308">
        <f t="shared" si="101"/>
        <v>0.37</v>
      </c>
      <c r="T150" s="347">
        <f>+(M150/G150)</f>
        <v>1</v>
      </c>
      <c r="U150" s="295">
        <f t="shared" si="95"/>
        <v>0.625</v>
      </c>
      <c r="V150" s="295">
        <f>+T150*E150</f>
        <v>0.2</v>
      </c>
      <c r="W150" s="295">
        <f t="shared" si="90"/>
        <v>0.125</v>
      </c>
      <c r="X150" s="295">
        <f>+M150/F150</f>
        <v>7.0000000000000007E-2</v>
      </c>
      <c r="Y150" s="295">
        <f t="shared" si="92"/>
        <v>0.37</v>
      </c>
      <c r="Z150" s="295">
        <f>+X150*E150</f>
        <v>1.4000000000000002E-2</v>
      </c>
      <c r="AA150" s="295">
        <f>+Y150*E150</f>
        <v>7.3999999999999996E-2</v>
      </c>
      <c r="AB150" s="296" t="s">
        <v>1775</v>
      </c>
      <c r="AC150" s="589" t="s">
        <v>1798</v>
      </c>
      <c r="AD150" s="589" t="s">
        <v>1860</v>
      </c>
      <c r="AE150" s="605" t="s">
        <v>1867</v>
      </c>
      <c r="AF150" s="605" t="s">
        <v>1897</v>
      </c>
    </row>
    <row r="151" spans="1:32" ht="122.4" customHeight="1" thickBot="1" x14ac:dyDescent="0.45">
      <c r="A151" s="276"/>
      <c r="B151" s="903" t="s">
        <v>596</v>
      </c>
      <c r="C151" s="904" t="s">
        <v>597</v>
      </c>
      <c r="D151" s="486" t="s">
        <v>565</v>
      </c>
      <c r="E151" s="286">
        <v>0.2</v>
      </c>
      <c r="F151" s="287">
        <v>1</v>
      </c>
      <c r="G151" s="307">
        <v>0.5</v>
      </c>
      <c r="H151" s="308">
        <v>0.5</v>
      </c>
      <c r="I151" s="297">
        <f>+G151/F151</f>
        <v>0.5</v>
      </c>
      <c r="J151" s="297">
        <f t="shared" si="84"/>
        <v>0.5</v>
      </c>
      <c r="K151" s="298">
        <f>+(G151/F151)*E151</f>
        <v>0.1</v>
      </c>
      <c r="L151" s="348">
        <f t="shared" si="86"/>
        <v>0.1</v>
      </c>
      <c r="M151" s="308">
        <v>0.5</v>
      </c>
      <c r="N151" s="533">
        <v>0.25</v>
      </c>
      <c r="O151" s="308">
        <v>0.33</v>
      </c>
      <c r="P151" s="533">
        <v>0</v>
      </c>
      <c r="Q151" s="308"/>
      <c r="R151" s="308">
        <f t="shared" si="100"/>
        <v>0.58000000000000007</v>
      </c>
      <c r="S151" s="308">
        <f t="shared" si="101"/>
        <v>1.08</v>
      </c>
      <c r="T151" s="347">
        <f>+(M151/G151)</f>
        <v>1</v>
      </c>
      <c r="U151" s="295">
        <v>1</v>
      </c>
      <c r="V151" s="295">
        <f>+T151*E151</f>
        <v>0.2</v>
      </c>
      <c r="W151" s="295">
        <f t="shared" si="90"/>
        <v>0.2</v>
      </c>
      <c r="X151" s="295">
        <f>+M151/F151</f>
        <v>0.5</v>
      </c>
      <c r="Y151" s="295">
        <v>1</v>
      </c>
      <c r="Z151" s="295">
        <f>+X151*E151</f>
        <v>0.1</v>
      </c>
      <c r="AA151" s="295">
        <f>+Y151*E151</f>
        <v>0.2</v>
      </c>
      <c r="AB151" s="296" t="s">
        <v>1775</v>
      </c>
      <c r="AC151" s="589" t="s">
        <v>1798</v>
      </c>
      <c r="AD151" s="589" t="s">
        <v>1520</v>
      </c>
      <c r="AE151" s="605" t="s">
        <v>1867</v>
      </c>
      <c r="AF151" s="605" t="s">
        <v>1897</v>
      </c>
    </row>
    <row r="152" spans="1:32" ht="122.4" customHeight="1" thickBot="1" x14ac:dyDescent="0.45">
      <c r="A152" s="276"/>
      <c r="B152" s="905" t="s">
        <v>598</v>
      </c>
      <c r="C152" s="906" t="s">
        <v>599</v>
      </c>
      <c r="D152" s="644" t="s">
        <v>565</v>
      </c>
      <c r="E152" s="286">
        <v>0.2</v>
      </c>
      <c r="F152" s="287">
        <v>1</v>
      </c>
      <c r="G152" s="307">
        <v>0</v>
      </c>
      <c r="H152" s="308">
        <v>0.4</v>
      </c>
      <c r="I152" s="297"/>
      <c r="J152" s="297">
        <f t="shared" si="84"/>
        <v>0.4</v>
      </c>
      <c r="K152" s="298"/>
      <c r="L152" s="348">
        <f t="shared" si="86"/>
        <v>8.0000000000000016E-2</v>
      </c>
      <c r="M152" s="308"/>
      <c r="N152" s="533">
        <v>0.06</v>
      </c>
      <c r="O152" s="308">
        <v>0.19</v>
      </c>
      <c r="P152" s="533">
        <v>0.1</v>
      </c>
      <c r="Q152" s="308"/>
      <c r="R152" s="308">
        <f t="shared" si="100"/>
        <v>0.35</v>
      </c>
      <c r="S152" s="308">
        <f t="shared" si="101"/>
        <v>0.35</v>
      </c>
      <c r="T152" s="347"/>
      <c r="U152" s="295">
        <f t="shared" si="95"/>
        <v>0.87499999999999989</v>
      </c>
      <c r="V152" s="295"/>
      <c r="W152" s="295">
        <f t="shared" si="90"/>
        <v>0.17499999999999999</v>
      </c>
      <c r="X152" s="295"/>
      <c r="Y152" s="295">
        <f t="shared" si="92"/>
        <v>0.35</v>
      </c>
      <c r="Z152" s="295"/>
      <c r="AA152" s="295">
        <f t="shared" ref="AA152:AA153" si="102">+Y152*E152</f>
        <v>6.9999999999999993E-2</v>
      </c>
      <c r="AB152" s="296" t="s">
        <v>1775</v>
      </c>
      <c r="AC152" s="589" t="s">
        <v>1798</v>
      </c>
      <c r="AD152" s="589" t="s">
        <v>1860</v>
      </c>
      <c r="AE152" s="605" t="s">
        <v>1867</v>
      </c>
      <c r="AF152" s="605" t="s">
        <v>1897</v>
      </c>
    </row>
    <row r="153" spans="1:32" ht="122.4" customHeight="1" thickBot="1" x14ac:dyDescent="0.45">
      <c r="A153" s="276"/>
      <c r="B153" s="910" t="s">
        <v>600</v>
      </c>
      <c r="C153" s="911" t="s">
        <v>601</v>
      </c>
      <c r="D153" s="486" t="s">
        <v>565</v>
      </c>
      <c r="E153" s="286">
        <v>0.2</v>
      </c>
      <c r="F153" s="287">
        <v>1</v>
      </c>
      <c r="G153" s="307">
        <v>0</v>
      </c>
      <c r="H153" s="308">
        <v>1</v>
      </c>
      <c r="I153" s="297"/>
      <c r="J153" s="297">
        <f t="shared" si="84"/>
        <v>1</v>
      </c>
      <c r="K153" s="298"/>
      <c r="L153" s="348">
        <f t="shared" si="86"/>
        <v>0.2</v>
      </c>
      <c r="M153" s="308"/>
      <c r="N153" s="533">
        <v>0.15</v>
      </c>
      <c r="O153" s="308">
        <v>0.05</v>
      </c>
      <c r="P153" s="533">
        <v>0.2</v>
      </c>
      <c r="Q153" s="308"/>
      <c r="R153" s="308">
        <f t="shared" si="100"/>
        <v>0.4</v>
      </c>
      <c r="S153" s="308">
        <f t="shared" si="101"/>
        <v>0.4</v>
      </c>
      <c r="T153" s="347"/>
      <c r="U153" s="295">
        <f t="shared" si="95"/>
        <v>0.4</v>
      </c>
      <c r="V153" s="295"/>
      <c r="W153" s="295">
        <f t="shared" si="90"/>
        <v>8.0000000000000016E-2</v>
      </c>
      <c r="X153" s="295"/>
      <c r="Y153" s="295">
        <f t="shared" si="92"/>
        <v>0.4</v>
      </c>
      <c r="Z153" s="295"/>
      <c r="AA153" s="295">
        <f t="shared" si="102"/>
        <v>8.0000000000000016E-2</v>
      </c>
      <c r="AB153" s="296" t="s">
        <v>1775</v>
      </c>
      <c r="AC153" s="589" t="s">
        <v>1798</v>
      </c>
      <c r="AD153" s="589" t="s">
        <v>1860</v>
      </c>
      <c r="AE153" s="605" t="s">
        <v>1867</v>
      </c>
      <c r="AF153" s="605" t="s">
        <v>1897</v>
      </c>
    </row>
    <row r="154" spans="1:32" ht="122.4" customHeight="1" thickBot="1" x14ac:dyDescent="0.45">
      <c r="A154" s="276"/>
      <c r="B154" s="958" t="s">
        <v>1598</v>
      </c>
      <c r="C154" s="959"/>
      <c r="D154" s="632"/>
      <c r="E154" s="282">
        <v>0.3</v>
      </c>
      <c r="F154" s="287"/>
      <c r="G154" s="307"/>
      <c r="H154" s="308"/>
      <c r="I154" s="304">
        <f>+AVERAGE(I155:I159)</f>
        <v>0.4375</v>
      </c>
      <c r="J154" s="304">
        <f>+AVERAGE(J155:J159)</f>
        <v>0.34500000000000003</v>
      </c>
      <c r="K154" s="305">
        <f>+K155+K156+K157+K158+K159</f>
        <v>0.57500000000000007</v>
      </c>
      <c r="L154" s="305">
        <f>+L155+L156+L157+L158+L159</f>
        <v>0.28500000000000003</v>
      </c>
      <c r="M154" s="308"/>
      <c r="N154" s="344"/>
      <c r="O154" s="344"/>
      <c r="P154" s="344"/>
      <c r="Q154" s="344"/>
      <c r="R154" s="344"/>
      <c r="S154" s="344"/>
      <c r="T154" s="528">
        <f>+AVERAGE(T155:T159)</f>
        <v>0.52500000000000002</v>
      </c>
      <c r="U154" s="329">
        <f>+AVERAGE(U155:U159)</f>
        <v>0.60105263157894728</v>
      </c>
      <c r="V154" s="329">
        <f>+(V155+V156+V157+V158+V159)*E154</f>
        <v>0.16800000000000001</v>
      </c>
      <c r="W154" s="329">
        <f>+(W155+W156+W157+W158+W159)*E154</f>
        <v>0.24915789473684213</v>
      </c>
      <c r="X154" s="284">
        <f>+AVERAGE(X155:X159)</f>
        <v>0.19375000000000001</v>
      </c>
      <c r="Y154" s="284">
        <f>+AVERAGE(Y155:Y159)</f>
        <v>0.32999999999999996</v>
      </c>
      <c r="Z154" s="284">
        <f>+(Z155+Z156+Z157+Z158+Z159)*E154</f>
        <v>7.5749999999999998E-2</v>
      </c>
      <c r="AA154" s="284">
        <f>+(AA155+AA156+AA157+AA158+AA159)</f>
        <v>0.46750000000000003</v>
      </c>
      <c r="AB154" s="285"/>
      <c r="AC154" s="588"/>
      <c r="AD154" s="258"/>
      <c r="AE154" s="258"/>
      <c r="AF154" s="258"/>
    </row>
    <row r="155" spans="1:32" ht="176.4" customHeight="1" thickBot="1" x14ac:dyDescent="0.45">
      <c r="A155" s="276"/>
      <c r="B155" s="796" t="s">
        <v>602</v>
      </c>
      <c r="C155" s="862" t="s">
        <v>603</v>
      </c>
      <c r="D155" s="486" t="s">
        <v>565</v>
      </c>
      <c r="E155" s="286">
        <v>0.45</v>
      </c>
      <c r="F155" s="287">
        <v>16</v>
      </c>
      <c r="G155" s="307">
        <v>16</v>
      </c>
      <c r="H155" s="308">
        <v>4</v>
      </c>
      <c r="I155" s="297">
        <f>+G155/F155</f>
        <v>1</v>
      </c>
      <c r="J155" s="297">
        <f t="shared" si="84"/>
        <v>0.25</v>
      </c>
      <c r="K155" s="298">
        <f>+(G155/F155)*E155</f>
        <v>0.45</v>
      </c>
      <c r="L155" s="348">
        <f t="shared" si="86"/>
        <v>0.1125</v>
      </c>
      <c r="M155" s="308">
        <v>8</v>
      </c>
      <c r="N155" s="533">
        <v>2</v>
      </c>
      <c r="O155" s="533">
        <v>2</v>
      </c>
      <c r="P155" s="308"/>
      <c r="Q155" s="308"/>
      <c r="R155" s="308">
        <f t="shared" ref="R155:R159" si="103">+N155+O155+P155+Q155</f>
        <v>4</v>
      </c>
      <c r="S155" s="308">
        <f>+R155+M155</f>
        <v>12</v>
      </c>
      <c r="T155" s="347">
        <v>1</v>
      </c>
      <c r="U155" s="295">
        <f t="shared" si="95"/>
        <v>1</v>
      </c>
      <c r="V155" s="295">
        <f>+T155*E155</f>
        <v>0.45</v>
      </c>
      <c r="W155" s="295">
        <f t="shared" si="90"/>
        <v>0.45</v>
      </c>
      <c r="X155" s="295">
        <f>+M155/F155</f>
        <v>0.5</v>
      </c>
      <c r="Y155" s="295">
        <f t="shared" si="92"/>
        <v>0.75</v>
      </c>
      <c r="Z155" s="295">
        <f>+X155*E155</f>
        <v>0.22500000000000001</v>
      </c>
      <c r="AA155" s="295">
        <f>+Y155*E155</f>
        <v>0.33750000000000002</v>
      </c>
      <c r="AB155" s="592" t="s">
        <v>1775</v>
      </c>
      <c r="AC155" s="667" t="s">
        <v>1799</v>
      </c>
      <c r="AD155" s="860" t="s">
        <v>1860</v>
      </c>
      <c r="AE155" s="876" t="s">
        <v>1867</v>
      </c>
      <c r="AF155" s="799" t="s">
        <v>1904</v>
      </c>
    </row>
    <row r="156" spans="1:32" ht="122.4" customHeight="1" thickBot="1" x14ac:dyDescent="0.45">
      <c r="A156" s="276"/>
      <c r="B156" s="896" t="s">
        <v>604</v>
      </c>
      <c r="C156" s="907" t="s">
        <v>605</v>
      </c>
      <c r="D156" s="639" t="s">
        <v>565</v>
      </c>
      <c r="E156" s="286">
        <v>0.3</v>
      </c>
      <c r="F156" s="287">
        <v>4</v>
      </c>
      <c r="G156" s="307">
        <v>1</v>
      </c>
      <c r="H156" s="308">
        <v>1</v>
      </c>
      <c r="I156" s="297">
        <f>+G156/F156</f>
        <v>0.25</v>
      </c>
      <c r="J156" s="297">
        <f t="shared" si="84"/>
        <v>0.25</v>
      </c>
      <c r="K156" s="298">
        <f>+(G156/F156)*E156</f>
        <v>7.4999999999999997E-2</v>
      </c>
      <c r="L156" s="348">
        <f t="shared" si="86"/>
        <v>7.4999999999999997E-2</v>
      </c>
      <c r="M156" s="308">
        <v>0</v>
      </c>
      <c r="N156" s="533">
        <v>1</v>
      </c>
      <c r="O156" s="533">
        <v>0</v>
      </c>
      <c r="P156" s="533">
        <v>0</v>
      </c>
      <c r="Q156" s="308"/>
      <c r="R156" s="308">
        <f t="shared" si="103"/>
        <v>1</v>
      </c>
      <c r="S156" s="308">
        <f t="shared" ref="S156:S159" si="104">+R156+M156</f>
        <v>1</v>
      </c>
      <c r="T156" s="347">
        <f>+(M156/G156)</f>
        <v>0</v>
      </c>
      <c r="U156" s="295">
        <f t="shared" si="95"/>
        <v>1</v>
      </c>
      <c r="V156" s="295">
        <f>+T156*E156</f>
        <v>0</v>
      </c>
      <c r="W156" s="295">
        <f t="shared" si="90"/>
        <v>0.3</v>
      </c>
      <c r="X156" s="295">
        <f>+M156/F156</f>
        <v>0</v>
      </c>
      <c r="Y156" s="295">
        <f t="shared" si="92"/>
        <v>0.25</v>
      </c>
      <c r="Z156" s="295">
        <f>+X156*E156</f>
        <v>0</v>
      </c>
      <c r="AA156" s="295">
        <f>+Y156*E156</f>
        <v>7.4999999999999997E-2</v>
      </c>
      <c r="AB156" s="592" t="s">
        <v>1775</v>
      </c>
      <c r="AC156" s="667" t="s">
        <v>1799</v>
      </c>
      <c r="AD156" s="860" t="s">
        <v>1860</v>
      </c>
      <c r="AE156" s="876" t="s">
        <v>1867</v>
      </c>
      <c r="AF156" s="605" t="s">
        <v>1897</v>
      </c>
    </row>
    <row r="157" spans="1:32" ht="122.4" customHeight="1" thickBot="1" x14ac:dyDescent="0.45">
      <c r="A157" s="276"/>
      <c r="B157" s="896" t="s">
        <v>606</v>
      </c>
      <c r="C157" s="907" t="s">
        <v>607</v>
      </c>
      <c r="D157" s="639" t="s">
        <v>565</v>
      </c>
      <c r="E157" s="286">
        <v>0.1</v>
      </c>
      <c r="F157" s="287">
        <v>1</v>
      </c>
      <c r="G157" s="307">
        <v>0.25</v>
      </c>
      <c r="H157" s="308">
        <v>0.47499999999999998</v>
      </c>
      <c r="I157" s="297">
        <f>+G157/F157</f>
        <v>0.25</v>
      </c>
      <c r="J157" s="297">
        <f t="shared" si="84"/>
        <v>0.47499999999999998</v>
      </c>
      <c r="K157" s="298">
        <f>+(G157/F157)*E157</f>
        <v>2.5000000000000001E-2</v>
      </c>
      <c r="L157" s="348">
        <f t="shared" si="86"/>
        <v>4.7500000000000001E-2</v>
      </c>
      <c r="M157" s="308">
        <v>2.5000000000000001E-2</v>
      </c>
      <c r="N157" s="533">
        <v>0</v>
      </c>
      <c r="O157" s="533">
        <v>0.05</v>
      </c>
      <c r="P157" s="308"/>
      <c r="Q157" s="308"/>
      <c r="R157" s="308">
        <f t="shared" si="103"/>
        <v>0.05</v>
      </c>
      <c r="S157" s="308">
        <f t="shared" si="104"/>
        <v>7.5000000000000011E-2</v>
      </c>
      <c r="T157" s="347">
        <f>+(M157/G157)</f>
        <v>0.1</v>
      </c>
      <c r="U157" s="295">
        <f t="shared" si="95"/>
        <v>0.10526315789473685</v>
      </c>
      <c r="V157" s="295">
        <f>+T157*E157</f>
        <v>1.0000000000000002E-2</v>
      </c>
      <c r="W157" s="295">
        <f t="shared" si="90"/>
        <v>1.0526315789473686E-2</v>
      </c>
      <c r="X157" s="295">
        <f>+M157/F157</f>
        <v>2.5000000000000001E-2</v>
      </c>
      <c r="Y157" s="295">
        <f t="shared" si="92"/>
        <v>7.5000000000000011E-2</v>
      </c>
      <c r="Z157" s="295">
        <f>+X157*E157</f>
        <v>2.5000000000000005E-3</v>
      </c>
      <c r="AA157" s="295">
        <f>+Y157*E157</f>
        <v>7.5000000000000015E-3</v>
      </c>
      <c r="AB157" s="592" t="s">
        <v>1775</v>
      </c>
      <c r="AC157" s="667" t="s">
        <v>1799</v>
      </c>
      <c r="AD157" s="860" t="s">
        <v>1860</v>
      </c>
      <c r="AE157" s="876" t="s">
        <v>1867</v>
      </c>
      <c r="AF157" s="605" t="s">
        <v>1897</v>
      </c>
    </row>
    <row r="158" spans="1:32" ht="170.4" customHeight="1" thickBot="1" x14ac:dyDescent="0.45">
      <c r="A158" s="276"/>
      <c r="B158" s="896" t="s">
        <v>608</v>
      </c>
      <c r="C158" s="894" t="s">
        <v>609</v>
      </c>
      <c r="D158" s="639" t="s">
        <v>565</v>
      </c>
      <c r="E158" s="286">
        <v>0.1</v>
      </c>
      <c r="F158" s="287">
        <v>4</v>
      </c>
      <c r="G158" s="307">
        <v>1</v>
      </c>
      <c r="H158" s="308">
        <v>1</v>
      </c>
      <c r="I158" s="297">
        <f>+G158/F158</f>
        <v>0.25</v>
      </c>
      <c r="J158" s="297">
        <f t="shared" si="84"/>
        <v>0.25</v>
      </c>
      <c r="K158" s="298">
        <f>+(G158/F158)*E158</f>
        <v>2.5000000000000001E-2</v>
      </c>
      <c r="L158" s="348">
        <f t="shared" si="86"/>
        <v>2.5000000000000001E-2</v>
      </c>
      <c r="M158" s="863">
        <v>1</v>
      </c>
      <c r="N158" s="533">
        <v>0</v>
      </c>
      <c r="O158" s="533">
        <v>0</v>
      </c>
      <c r="P158" s="533">
        <v>0.5</v>
      </c>
      <c r="Q158" s="308"/>
      <c r="R158" s="308">
        <f t="shared" si="103"/>
        <v>0.5</v>
      </c>
      <c r="S158" s="308">
        <f t="shared" si="104"/>
        <v>1.5</v>
      </c>
      <c r="T158" s="347">
        <f>+(M158/G158)</f>
        <v>1</v>
      </c>
      <c r="U158" s="295">
        <f t="shared" si="95"/>
        <v>0.5</v>
      </c>
      <c r="V158" s="295">
        <f>+T158*E158</f>
        <v>0.1</v>
      </c>
      <c r="W158" s="295">
        <f t="shared" si="90"/>
        <v>0.05</v>
      </c>
      <c r="X158" s="295">
        <f>+M158/F158</f>
        <v>0.25</v>
      </c>
      <c r="Y158" s="295">
        <f t="shared" si="92"/>
        <v>0.375</v>
      </c>
      <c r="Z158" s="295">
        <f>+X158*E158</f>
        <v>2.5000000000000001E-2</v>
      </c>
      <c r="AA158" s="295">
        <f>+Y158*E158</f>
        <v>3.7500000000000006E-2</v>
      </c>
      <c r="AB158" s="592" t="s">
        <v>1775</v>
      </c>
      <c r="AC158" s="667" t="s">
        <v>1799</v>
      </c>
      <c r="AD158" s="860" t="s">
        <v>1860</v>
      </c>
      <c r="AE158" s="877" t="s">
        <v>1867</v>
      </c>
      <c r="AF158" s="605" t="s">
        <v>1897</v>
      </c>
    </row>
    <row r="159" spans="1:32" ht="122.4" customHeight="1" thickBot="1" x14ac:dyDescent="0.45">
      <c r="A159" s="276"/>
      <c r="B159" s="896" t="s">
        <v>610</v>
      </c>
      <c r="C159" s="894" t="s">
        <v>611</v>
      </c>
      <c r="D159" s="639" t="s">
        <v>565</v>
      </c>
      <c r="E159" s="286">
        <v>0.05</v>
      </c>
      <c r="F159" s="287">
        <v>1</v>
      </c>
      <c r="G159" s="307">
        <v>0</v>
      </c>
      <c r="H159" s="308">
        <v>0.5</v>
      </c>
      <c r="I159" s="297"/>
      <c r="J159" s="297">
        <f t="shared" si="84"/>
        <v>0.5</v>
      </c>
      <c r="K159" s="298"/>
      <c r="L159" s="348">
        <f t="shared" si="86"/>
        <v>2.5000000000000001E-2</v>
      </c>
      <c r="M159" s="308"/>
      <c r="N159" s="533">
        <v>0</v>
      </c>
      <c r="O159" s="533">
        <v>0.05</v>
      </c>
      <c r="P159" s="533">
        <v>0.15</v>
      </c>
      <c r="Q159" s="308"/>
      <c r="R159" s="308">
        <f t="shared" si="103"/>
        <v>0.2</v>
      </c>
      <c r="S159" s="308">
        <f t="shared" si="104"/>
        <v>0.2</v>
      </c>
      <c r="T159" s="347"/>
      <c r="U159" s="295">
        <f t="shared" si="95"/>
        <v>0.4</v>
      </c>
      <c r="V159" s="295"/>
      <c r="W159" s="295">
        <f t="shared" si="90"/>
        <v>2.0000000000000004E-2</v>
      </c>
      <c r="X159" s="295"/>
      <c r="Y159" s="295">
        <f t="shared" si="92"/>
        <v>0.2</v>
      </c>
      <c r="Z159" s="295"/>
      <c r="AA159" s="295">
        <f>+Y159*E159</f>
        <v>1.0000000000000002E-2</v>
      </c>
      <c r="AB159" s="296" t="s">
        <v>1775</v>
      </c>
      <c r="AC159" s="874" t="s">
        <v>1810</v>
      </c>
      <c r="AD159" s="275"/>
      <c r="AE159" s="875" t="s">
        <v>1867</v>
      </c>
      <c r="AF159" s="605" t="s">
        <v>1897</v>
      </c>
    </row>
    <row r="160" spans="1:32" ht="88.8" customHeight="1" thickBot="1" x14ac:dyDescent="0.45">
      <c r="A160" s="276"/>
      <c r="B160" s="955" t="s">
        <v>1599</v>
      </c>
      <c r="C160" s="957"/>
      <c r="D160" s="331"/>
      <c r="E160" s="282">
        <v>0.15</v>
      </c>
      <c r="F160" s="287"/>
      <c r="G160" s="307"/>
      <c r="H160" s="308"/>
      <c r="I160" s="304"/>
      <c r="J160" s="304">
        <f>+AVERAGE(J161:J163)</f>
        <v>0.66640624999999998</v>
      </c>
      <c r="K160" s="305"/>
      <c r="L160" s="343">
        <f>+L161+L162+L163</f>
        <v>0.36648437499999997</v>
      </c>
      <c r="M160" s="308"/>
      <c r="N160" s="344"/>
      <c r="O160" s="344"/>
      <c r="P160" s="344"/>
      <c r="Q160" s="344"/>
      <c r="R160" s="344"/>
      <c r="S160" s="344"/>
      <c r="T160" s="528"/>
      <c r="U160" s="329">
        <f>+AVERAGE(U161:U163)</f>
        <v>0</v>
      </c>
      <c r="V160" s="329"/>
      <c r="W160" s="329">
        <f>+(W161+W162+W163)*E160</f>
        <v>0</v>
      </c>
      <c r="X160" s="284"/>
      <c r="Y160" s="284">
        <f>+AVERAGE(Y161:Y163)</f>
        <v>0</v>
      </c>
      <c r="Z160" s="284">
        <f>+(Z161+Z162+Z163)*E160</f>
        <v>0</v>
      </c>
      <c r="AA160" s="284">
        <f>+(AA161+AA162+AA163)</f>
        <v>0</v>
      </c>
      <c r="AB160" s="708"/>
      <c r="AC160" s="710" t="s">
        <v>1846</v>
      </c>
      <c r="AD160" s="271"/>
      <c r="AE160" s="272"/>
      <c r="AF160" s="272"/>
    </row>
    <row r="161" spans="1:32" ht="122.4" customHeight="1" thickBot="1" x14ac:dyDescent="0.45">
      <c r="A161" s="276"/>
      <c r="B161" s="896" t="s">
        <v>612</v>
      </c>
      <c r="C161" s="894" t="s">
        <v>613</v>
      </c>
      <c r="D161" s="641" t="s">
        <v>1502</v>
      </c>
      <c r="E161" s="286">
        <v>0.35</v>
      </c>
      <c r="F161" s="287">
        <v>640</v>
      </c>
      <c r="G161" s="307">
        <v>0</v>
      </c>
      <c r="H161" s="308">
        <v>213</v>
      </c>
      <c r="I161" s="297"/>
      <c r="J161" s="297">
        <f t="shared" si="84"/>
        <v>0.33281250000000001</v>
      </c>
      <c r="K161" s="298"/>
      <c r="L161" s="348">
        <f t="shared" si="86"/>
        <v>0.116484375</v>
      </c>
      <c r="M161" s="308"/>
      <c r="N161" s="533">
        <v>0</v>
      </c>
      <c r="O161" s="533">
        <v>0</v>
      </c>
      <c r="P161" s="533">
        <v>0</v>
      </c>
      <c r="Q161" s="308"/>
      <c r="R161" s="308">
        <f t="shared" ref="R161:R163" si="105">+N161+O161+P161+Q161</f>
        <v>0</v>
      </c>
      <c r="S161" s="308">
        <f t="shared" ref="S161:S163" si="106">+R161+M161</f>
        <v>0</v>
      </c>
      <c r="T161" s="347"/>
      <c r="U161" s="295">
        <f t="shared" si="95"/>
        <v>0</v>
      </c>
      <c r="V161" s="295"/>
      <c r="W161" s="295">
        <f t="shared" si="90"/>
        <v>0</v>
      </c>
      <c r="X161" s="295"/>
      <c r="Y161" s="295">
        <f t="shared" si="92"/>
        <v>0</v>
      </c>
      <c r="Z161" s="295"/>
      <c r="AA161" s="295">
        <f t="shared" ref="AA161:AA163" si="107">+Y161*E161</f>
        <v>0</v>
      </c>
      <c r="AB161" s="296" t="s">
        <v>1775</v>
      </c>
      <c r="AC161" s="604" t="s">
        <v>1810</v>
      </c>
      <c r="AD161" s="589" t="s">
        <v>1860</v>
      </c>
      <c r="AE161" s="605" t="s">
        <v>1867</v>
      </c>
      <c r="AF161" s="668" t="s">
        <v>1897</v>
      </c>
    </row>
    <row r="162" spans="1:32" ht="122.4" customHeight="1" thickBot="1" x14ac:dyDescent="0.45">
      <c r="A162" s="276"/>
      <c r="B162" s="896" t="s">
        <v>614</v>
      </c>
      <c r="C162" s="894" t="s">
        <v>615</v>
      </c>
      <c r="D162" s="641" t="s">
        <v>1502</v>
      </c>
      <c r="E162" s="286">
        <v>0.4</v>
      </c>
      <c r="F162" s="287">
        <v>2</v>
      </c>
      <c r="G162" s="307">
        <v>0</v>
      </c>
      <c r="H162" s="308">
        <v>0</v>
      </c>
      <c r="I162" s="297"/>
      <c r="J162" s="297"/>
      <c r="K162" s="298"/>
      <c r="L162" s="348"/>
      <c r="M162" s="308"/>
      <c r="N162" s="533"/>
      <c r="O162" s="533"/>
      <c r="P162" s="533"/>
      <c r="Q162" s="308"/>
      <c r="R162" s="308">
        <f t="shared" si="105"/>
        <v>0</v>
      </c>
      <c r="S162" s="308">
        <f t="shared" si="106"/>
        <v>0</v>
      </c>
      <c r="T162" s="347"/>
      <c r="U162" s="295"/>
      <c r="V162" s="295"/>
      <c r="W162" s="295"/>
      <c r="X162" s="295"/>
      <c r="Y162" s="295"/>
      <c r="Z162" s="295"/>
      <c r="AA162" s="295">
        <f t="shared" si="107"/>
        <v>0</v>
      </c>
      <c r="AB162" s="296" t="s">
        <v>1775</v>
      </c>
      <c r="AC162" s="586" t="s">
        <v>1798</v>
      </c>
      <c r="AD162" s="589" t="s">
        <v>1860</v>
      </c>
      <c r="AE162" s="605" t="s">
        <v>1867</v>
      </c>
      <c r="AF162" s="668" t="s">
        <v>1897</v>
      </c>
    </row>
    <row r="163" spans="1:32" ht="122.4" customHeight="1" thickBot="1" x14ac:dyDescent="0.45">
      <c r="A163" s="276"/>
      <c r="B163" s="796" t="s">
        <v>616</v>
      </c>
      <c r="C163" s="397" t="s">
        <v>617</v>
      </c>
      <c r="D163" s="641" t="s">
        <v>1502</v>
      </c>
      <c r="E163" s="286">
        <v>0.25</v>
      </c>
      <c r="F163" s="287">
        <v>1</v>
      </c>
      <c r="G163" s="307">
        <v>0</v>
      </c>
      <c r="H163" s="308">
        <v>1</v>
      </c>
      <c r="I163" s="297"/>
      <c r="J163" s="297">
        <f t="shared" si="84"/>
        <v>1</v>
      </c>
      <c r="K163" s="298"/>
      <c r="L163" s="348">
        <f t="shared" si="86"/>
        <v>0.25</v>
      </c>
      <c r="M163" s="308"/>
      <c r="N163" s="533">
        <v>0</v>
      </c>
      <c r="O163" s="533">
        <v>0</v>
      </c>
      <c r="P163" s="533">
        <v>0</v>
      </c>
      <c r="Q163" s="308"/>
      <c r="R163" s="308">
        <f t="shared" si="105"/>
        <v>0</v>
      </c>
      <c r="S163" s="308">
        <f t="shared" si="106"/>
        <v>0</v>
      </c>
      <c r="T163" s="347"/>
      <c r="U163" s="295">
        <f t="shared" si="95"/>
        <v>0</v>
      </c>
      <c r="V163" s="295"/>
      <c r="W163" s="295">
        <f t="shared" si="90"/>
        <v>0</v>
      </c>
      <c r="X163" s="295"/>
      <c r="Y163" s="295">
        <f t="shared" si="92"/>
        <v>0</v>
      </c>
      <c r="Z163" s="295"/>
      <c r="AA163" s="295">
        <f t="shared" si="107"/>
        <v>0</v>
      </c>
      <c r="AB163" s="296" t="s">
        <v>1775</v>
      </c>
      <c r="AC163" s="604" t="s">
        <v>1810</v>
      </c>
      <c r="AD163" s="589" t="s">
        <v>1860</v>
      </c>
      <c r="AE163" s="799" t="s">
        <v>1876</v>
      </c>
      <c r="AF163" s="668" t="s">
        <v>1897</v>
      </c>
    </row>
    <row r="164" spans="1:32" ht="94.2" customHeight="1" thickBot="1" x14ac:dyDescent="0.45">
      <c r="A164" s="276"/>
      <c r="B164" s="963" t="s">
        <v>1600</v>
      </c>
      <c r="C164" s="962"/>
      <c r="D164" s="625"/>
      <c r="E164" s="323">
        <v>0.2</v>
      </c>
      <c r="F164" s="324">
        <f>+E164*V164</f>
        <v>0.1569418604651163</v>
      </c>
      <c r="G164" s="303"/>
      <c r="H164" s="278">
        <f>+E164*W164</f>
        <v>0.10958678323650378</v>
      </c>
      <c r="I164" s="351">
        <f>+(I165+I170+I173+I176+I182+I184+I187)/7</f>
        <v>0.23893651055292212</v>
      </c>
      <c r="J164" s="351">
        <f>+(J165+J170+J173+J176+J182+J184+J187)/7</f>
        <v>0.28593294105804123</v>
      </c>
      <c r="K164" s="352">
        <f>+(K165+K170+K173+K176+K182+K184+K187)/7</f>
        <v>0.22368966475650506</v>
      </c>
      <c r="L164" s="352">
        <f>+(L165+L170+L173+L176+L182+L184+L187)/7</f>
        <v>0.2870384761939736</v>
      </c>
      <c r="M164" s="520"/>
      <c r="N164" s="283"/>
      <c r="O164" s="283"/>
      <c r="P164" s="283"/>
      <c r="Q164" s="283"/>
      <c r="R164" s="283"/>
      <c r="S164" s="283"/>
      <c r="T164" s="341">
        <f>+(T165+T170+T173+T176+T182+T184+T187)/7</f>
        <v>0.91621262458471764</v>
      </c>
      <c r="U164" s="280">
        <f>+(U165+U170+U173+U176+U182+U184+U187)/7</f>
        <v>0.67086826386235454</v>
      </c>
      <c r="V164" s="336">
        <f>V165+V170+V173+V176+V182+V184+V187</f>
        <v>0.78470930232558145</v>
      </c>
      <c r="W164" s="336">
        <f>W165+W170+W173+W176+W182+W184+W187</f>
        <v>0.54793391618251885</v>
      </c>
      <c r="X164" s="280">
        <f>(X165+X170+X173+X176+X182+X184+X187)/7</f>
        <v>0.26532184592777297</v>
      </c>
      <c r="Y164" s="280">
        <f>(Y165+Y170+Y173+Y176+Y182+Y184+Y187)/7</f>
        <v>0.46256200361790539</v>
      </c>
      <c r="Z164" s="336">
        <f>(Z165+Z170+Z173+Z176+Z182+Z184+Z187)</f>
        <v>0.20257591878811407</v>
      </c>
      <c r="AA164" s="336">
        <f>(AA165*E165)+(AA170*E170)+(AA173*E173)+(AA176*E176)+(AA182*E182)+(AA184*E184)+(AA187*E187)</f>
        <v>0.41102090301256877</v>
      </c>
      <c r="AB164" s="281"/>
      <c r="AC164" s="271"/>
      <c r="AD164" s="272"/>
      <c r="AE164" s="272"/>
      <c r="AF164" s="272"/>
    </row>
    <row r="165" spans="1:32" ht="122.4" customHeight="1" thickBot="1" x14ac:dyDescent="0.45">
      <c r="A165" s="276"/>
      <c r="B165" s="964" t="s">
        <v>1601</v>
      </c>
      <c r="C165" s="965"/>
      <c r="D165" s="487"/>
      <c r="E165" s="282">
        <v>0.35</v>
      </c>
      <c r="F165" s="287"/>
      <c r="G165" s="303"/>
      <c r="H165" s="283"/>
      <c r="I165" s="304">
        <f>+AVERAGE(I166:I169)</f>
        <v>0.3125</v>
      </c>
      <c r="J165" s="304">
        <f>+AVERAGE(J166:J169)</f>
        <v>0.39083333333333331</v>
      </c>
      <c r="K165" s="305">
        <f>+K166+K167+K168+K169</f>
        <v>0.3125</v>
      </c>
      <c r="L165" s="305">
        <f>+L166+L167+L168+L169</f>
        <v>0.39083333333333331</v>
      </c>
      <c r="M165" s="308"/>
      <c r="N165" s="344"/>
      <c r="O165" s="344"/>
      <c r="P165" s="344"/>
      <c r="Q165" s="344"/>
      <c r="R165" s="344"/>
      <c r="S165" s="344"/>
      <c r="T165" s="528">
        <f>+AVERAGE(T166:T169)</f>
        <v>0.51</v>
      </c>
      <c r="U165" s="329">
        <f>+AVERAGE(U166:U169)</f>
        <v>0.58865296803652967</v>
      </c>
      <c r="V165" s="329">
        <f>+(V166+V167+V168+V169)*E165</f>
        <v>0.17849999999999999</v>
      </c>
      <c r="W165" s="329">
        <f>+(W166+W167+W168+W169)*E165</f>
        <v>0.20602853881278538</v>
      </c>
      <c r="X165" s="284">
        <f>+AVERAGE(X166:X169)</f>
        <v>0.17541666666666667</v>
      </c>
      <c r="Y165" s="284">
        <f>+AVERAGE(Y166:Y169)</f>
        <v>0.39354166666666668</v>
      </c>
      <c r="Z165" s="284">
        <f>+(Z166+Z167+Z168+Z169)*E165</f>
        <v>6.139583333333333E-2</v>
      </c>
      <c r="AA165" s="284">
        <f>+(AA166+AA167+AA168+AA169)</f>
        <v>0.39354166666666668</v>
      </c>
      <c r="AB165" s="285"/>
      <c r="AC165" s="588"/>
      <c r="AD165" s="272"/>
      <c r="AE165" s="272"/>
      <c r="AF165" s="272"/>
    </row>
    <row r="166" spans="1:32" ht="122.4" customHeight="1" thickBot="1" x14ac:dyDescent="0.45">
      <c r="A166" s="276"/>
      <c r="B166" s="905" t="s">
        <v>618</v>
      </c>
      <c r="C166" s="906" t="s">
        <v>619</v>
      </c>
      <c r="D166" s="644" t="s">
        <v>620</v>
      </c>
      <c r="E166" s="286">
        <v>0.25</v>
      </c>
      <c r="F166" s="287">
        <v>12</v>
      </c>
      <c r="G166" s="307">
        <v>3</v>
      </c>
      <c r="H166" s="308">
        <v>4</v>
      </c>
      <c r="I166" s="297">
        <f>+G166/F166</f>
        <v>0.25</v>
      </c>
      <c r="J166" s="297">
        <f t="shared" ref="J166:J174" si="108">+H166/F166</f>
        <v>0.33333333333333331</v>
      </c>
      <c r="K166" s="298">
        <f>+(G166/F166)*E166</f>
        <v>6.25E-2</v>
      </c>
      <c r="L166" s="348">
        <f>+(H166/F166)*E166</f>
        <v>8.3333333333333329E-2</v>
      </c>
      <c r="M166" s="308">
        <v>0</v>
      </c>
      <c r="N166" s="533">
        <v>0</v>
      </c>
      <c r="O166" s="533">
        <v>0</v>
      </c>
      <c r="P166" s="533">
        <v>1</v>
      </c>
      <c r="Q166" s="308"/>
      <c r="R166" s="308">
        <f t="shared" ref="R166:R190" si="109">+N166+O166+P166+Q166</f>
        <v>1</v>
      </c>
      <c r="S166" s="308">
        <f t="shared" ref="S166:S191" si="110">+R166+M166</f>
        <v>1</v>
      </c>
      <c r="T166" s="347">
        <f>+(M166/G166)</f>
        <v>0</v>
      </c>
      <c r="U166" s="295">
        <f t="shared" ref="U166:U190" si="111">+R166/H166</f>
        <v>0.25</v>
      </c>
      <c r="V166" s="295">
        <f>+T166*E166</f>
        <v>0</v>
      </c>
      <c r="W166" s="295">
        <f t="shared" ref="W166:W181" si="112">+U166*E166</f>
        <v>6.25E-2</v>
      </c>
      <c r="X166" s="295">
        <f>+M166/F166</f>
        <v>0</v>
      </c>
      <c r="Y166" s="295">
        <f>+S166/F166</f>
        <v>8.3333333333333329E-2</v>
      </c>
      <c r="Z166" s="295">
        <f>+X166*E166</f>
        <v>0</v>
      </c>
      <c r="AA166" s="295">
        <f>+Y166*E166</f>
        <v>2.0833333333333332E-2</v>
      </c>
      <c r="AB166" s="592" t="s">
        <v>1775</v>
      </c>
      <c r="AC166" s="668" t="s">
        <v>1799</v>
      </c>
      <c r="AD166" s="668" t="s">
        <v>1860</v>
      </c>
      <c r="AE166" s="668" t="s">
        <v>1866</v>
      </c>
      <c r="AF166" s="668" t="s">
        <v>1897</v>
      </c>
    </row>
    <row r="167" spans="1:32" ht="122.4" customHeight="1" thickBot="1" x14ac:dyDescent="0.45">
      <c r="A167" s="276"/>
      <c r="B167" s="910" t="s">
        <v>621</v>
      </c>
      <c r="C167" s="911" t="s">
        <v>622</v>
      </c>
      <c r="D167" s="486" t="s">
        <v>620</v>
      </c>
      <c r="E167" s="286">
        <v>0.25</v>
      </c>
      <c r="F167" s="287">
        <v>1</v>
      </c>
      <c r="G167" s="307">
        <v>0.5</v>
      </c>
      <c r="H167" s="308">
        <v>0.73</v>
      </c>
      <c r="I167" s="297">
        <f>+G167/F167</f>
        <v>0.5</v>
      </c>
      <c r="J167" s="297">
        <f t="shared" si="108"/>
        <v>0.73</v>
      </c>
      <c r="K167" s="298">
        <f>+(G167/F167)*E167</f>
        <v>0.125</v>
      </c>
      <c r="L167" s="348">
        <f t="shared" ref="L167:L191" si="113">+(H167/F167)*E167</f>
        <v>0.1825</v>
      </c>
      <c r="M167" s="308">
        <v>0.27</v>
      </c>
      <c r="N167" s="861">
        <v>0.35</v>
      </c>
      <c r="O167" s="533">
        <v>0.05</v>
      </c>
      <c r="P167" s="533">
        <v>0</v>
      </c>
      <c r="Q167" s="308"/>
      <c r="R167" s="308">
        <f t="shared" si="109"/>
        <v>0.39999999999999997</v>
      </c>
      <c r="S167" s="308">
        <f t="shared" si="110"/>
        <v>0.66999999999999993</v>
      </c>
      <c r="T167" s="347">
        <f>+(M167/G167)</f>
        <v>0.54</v>
      </c>
      <c r="U167" s="295">
        <f t="shared" si="111"/>
        <v>0.54794520547945202</v>
      </c>
      <c r="V167" s="295">
        <f>+T167*E167</f>
        <v>0.13500000000000001</v>
      </c>
      <c r="W167" s="295">
        <f t="shared" si="112"/>
        <v>0.13698630136986301</v>
      </c>
      <c r="X167" s="295">
        <f>+M167/F167</f>
        <v>0.27</v>
      </c>
      <c r="Y167" s="295">
        <f t="shared" ref="Y167:Y180" si="114">+S167/F167</f>
        <v>0.66999999999999993</v>
      </c>
      <c r="Z167" s="295">
        <f>+X167*E167</f>
        <v>6.7500000000000004E-2</v>
      </c>
      <c r="AA167" s="295">
        <f>+Y167*E167</f>
        <v>0.16749999999999998</v>
      </c>
      <c r="AB167" s="592" t="s">
        <v>1775</v>
      </c>
      <c r="AC167" s="667" t="s">
        <v>1799</v>
      </c>
      <c r="AD167" s="668" t="s">
        <v>1860</v>
      </c>
      <c r="AE167" s="668" t="s">
        <v>1866</v>
      </c>
      <c r="AF167" s="668" t="s">
        <v>1897</v>
      </c>
    </row>
    <row r="168" spans="1:32" ht="122.4" customHeight="1" thickBot="1" x14ac:dyDescent="0.45">
      <c r="A168" s="276"/>
      <c r="B168" s="910" t="s">
        <v>623</v>
      </c>
      <c r="C168" s="911" t="s">
        <v>624</v>
      </c>
      <c r="D168" s="486" t="s">
        <v>620</v>
      </c>
      <c r="E168" s="286">
        <v>0.25</v>
      </c>
      <c r="F168" s="287">
        <v>16</v>
      </c>
      <c r="G168" s="307">
        <v>4</v>
      </c>
      <c r="H168" s="308">
        <v>4</v>
      </c>
      <c r="I168" s="297">
        <f>+G168/F168</f>
        <v>0.25</v>
      </c>
      <c r="J168" s="297">
        <f t="shared" si="108"/>
        <v>0.25</v>
      </c>
      <c r="K168" s="298">
        <f>+(G168/F168)*E168</f>
        <v>6.25E-2</v>
      </c>
      <c r="L168" s="348">
        <f t="shared" si="113"/>
        <v>6.25E-2</v>
      </c>
      <c r="M168" s="308">
        <v>2</v>
      </c>
      <c r="N168" s="533">
        <v>1</v>
      </c>
      <c r="O168" s="533">
        <v>0</v>
      </c>
      <c r="P168" s="533">
        <v>2</v>
      </c>
      <c r="Q168" s="308"/>
      <c r="R168" s="308">
        <f t="shared" si="109"/>
        <v>3</v>
      </c>
      <c r="S168" s="308">
        <f t="shared" si="110"/>
        <v>5</v>
      </c>
      <c r="T168" s="347">
        <f>+(M168/G168)</f>
        <v>0.5</v>
      </c>
      <c r="U168" s="295">
        <f t="shared" si="111"/>
        <v>0.75</v>
      </c>
      <c r="V168" s="295">
        <f>+T168*E168</f>
        <v>0.125</v>
      </c>
      <c r="W168" s="295">
        <f t="shared" si="112"/>
        <v>0.1875</v>
      </c>
      <c r="X168" s="295">
        <f>+M168/F168</f>
        <v>0.125</v>
      </c>
      <c r="Y168" s="295">
        <f t="shared" si="114"/>
        <v>0.3125</v>
      </c>
      <c r="Z168" s="295">
        <f>+X168*E168</f>
        <v>3.125E-2</v>
      </c>
      <c r="AA168" s="295">
        <f>+Y168*E168</f>
        <v>7.8125E-2</v>
      </c>
      <c r="AB168" s="592" t="s">
        <v>1775</v>
      </c>
      <c r="AC168" s="667" t="s">
        <v>1799</v>
      </c>
      <c r="AD168" s="668" t="s">
        <v>1860</v>
      </c>
      <c r="AE168" s="668" t="s">
        <v>1866</v>
      </c>
      <c r="AF168" s="668" t="s">
        <v>1897</v>
      </c>
    </row>
    <row r="169" spans="1:32" ht="122.4" customHeight="1" thickBot="1" x14ac:dyDescent="0.45">
      <c r="A169" s="276"/>
      <c r="B169" s="910" t="s">
        <v>625</v>
      </c>
      <c r="C169" s="911" t="s">
        <v>626</v>
      </c>
      <c r="D169" s="486" t="s">
        <v>620</v>
      </c>
      <c r="E169" s="286">
        <v>0.25</v>
      </c>
      <c r="F169" s="287">
        <v>1200</v>
      </c>
      <c r="G169" s="307">
        <v>300</v>
      </c>
      <c r="H169" s="308">
        <v>300</v>
      </c>
      <c r="I169" s="297">
        <f>+G169/F169</f>
        <v>0.25</v>
      </c>
      <c r="J169" s="297">
        <f t="shared" si="108"/>
        <v>0.25</v>
      </c>
      <c r="K169" s="298">
        <f>+(G169/F169)*E169</f>
        <v>6.25E-2</v>
      </c>
      <c r="L169" s="348">
        <f t="shared" si="113"/>
        <v>6.25E-2</v>
      </c>
      <c r="M169" s="308">
        <v>368</v>
      </c>
      <c r="N169" s="533">
        <v>83</v>
      </c>
      <c r="O169" s="533">
        <v>117</v>
      </c>
      <c r="P169" s="533">
        <v>42</v>
      </c>
      <c r="Q169" s="308"/>
      <c r="R169" s="308">
        <f t="shared" si="109"/>
        <v>242</v>
      </c>
      <c r="S169" s="308">
        <f t="shared" si="110"/>
        <v>610</v>
      </c>
      <c r="T169" s="347">
        <v>1</v>
      </c>
      <c r="U169" s="295">
        <f>+R169/H169</f>
        <v>0.80666666666666664</v>
      </c>
      <c r="V169" s="295">
        <f>+T169*E169</f>
        <v>0.25</v>
      </c>
      <c r="W169" s="295">
        <f t="shared" si="112"/>
        <v>0.20166666666666666</v>
      </c>
      <c r="X169" s="295">
        <f>+M169/F169</f>
        <v>0.30666666666666664</v>
      </c>
      <c r="Y169" s="295">
        <f t="shared" si="114"/>
        <v>0.5083333333333333</v>
      </c>
      <c r="Z169" s="295">
        <f>+X169*E169</f>
        <v>7.6666666666666661E-2</v>
      </c>
      <c r="AA169" s="295">
        <f>+Y169*E169</f>
        <v>0.12708333333333333</v>
      </c>
      <c r="AB169" s="592" t="s">
        <v>1775</v>
      </c>
      <c r="AC169" s="652" t="s">
        <v>1834</v>
      </c>
      <c r="AD169" s="668" t="s">
        <v>1860</v>
      </c>
      <c r="AE169" s="668" t="s">
        <v>1866</v>
      </c>
      <c r="AF169" s="668" t="s">
        <v>1897</v>
      </c>
    </row>
    <row r="170" spans="1:32" ht="122.4" customHeight="1" thickBot="1" x14ac:dyDescent="0.45">
      <c r="A170" s="276"/>
      <c r="B170" s="958" t="s">
        <v>1602</v>
      </c>
      <c r="C170" s="959"/>
      <c r="D170" s="632"/>
      <c r="E170" s="282">
        <v>0.2</v>
      </c>
      <c r="F170" s="287"/>
      <c r="G170" s="307"/>
      <c r="H170" s="308"/>
      <c r="I170" s="304">
        <f>+AVERAGE(I171:I172)</f>
        <v>3.2271422261484099E-2</v>
      </c>
      <c r="J170" s="304">
        <f>+AVERAGE(J171:J172)</f>
        <v>0.31835247349823326</v>
      </c>
      <c r="K170" s="305">
        <f>+K171+K172</f>
        <v>2.6429991166077735E-2</v>
      </c>
      <c r="L170" s="305">
        <f>+L171+L172</f>
        <v>0.32069346289752654</v>
      </c>
      <c r="M170" s="308"/>
      <c r="N170" s="344"/>
      <c r="O170" s="344"/>
      <c r="P170" s="344"/>
      <c r="Q170" s="344"/>
      <c r="R170" s="344"/>
      <c r="S170" s="344"/>
      <c r="T170" s="528">
        <f>+AVERAGE(T171:T173)</f>
        <v>0.95000000000000007</v>
      </c>
      <c r="U170" s="329">
        <f>+AVERAGE(U171:U172)</f>
        <v>0.58152588555858309</v>
      </c>
      <c r="V170" s="329">
        <f>+(V171+V172)*E170</f>
        <v>0.17900000000000002</v>
      </c>
      <c r="W170" s="329">
        <f>+(W171+W172)*E170</f>
        <v>0.12122724795640326</v>
      </c>
      <c r="X170" s="284">
        <f>+AVERAGE(X171:X172)</f>
        <v>3.7196333922261481E-2</v>
      </c>
      <c r="Y170" s="284">
        <f>+AVERAGE(Y171:Y172)</f>
        <v>0.22268661660777384</v>
      </c>
      <c r="Z170" s="284">
        <f>+(Z171+Z172)*E170</f>
        <v>5.6649734982332153E-3</v>
      </c>
      <c r="AA170" s="284">
        <f>+(AA171+AA172)</f>
        <v>0.22301126325088338</v>
      </c>
      <c r="AB170" s="271"/>
      <c r="AC170" s="274"/>
      <c r="AD170" s="272"/>
      <c r="AE170" s="275"/>
      <c r="AF170" s="275"/>
    </row>
    <row r="171" spans="1:32" ht="122.4" customHeight="1" thickBot="1" x14ac:dyDescent="0.45">
      <c r="A171" s="276"/>
      <c r="B171" s="910" t="s">
        <v>627</v>
      </c>
      <c r="C171" s="911" t="s">
        <v>628</v>
      </c>
      <c r="D171" s="639" t="s">
        <v>620</v>
      </c>
      <c r="E171" s="286">
        <v>0.7</v>
      </c>
      <c r="F171" s="287">
        <v>1132</v>
      </c>
      <c r="G171" s="307">
        <v>20</v>
      </c>
      <c r="H171" s="308">
        <v>367</v>
      </c>
      <c r="I171" s="297">
        <f>+G171/F171</f>
        <v>1.7667844522968199E-2</v>
      </c>
      <c r="J171" s="297">
        <f t="shared" si="108"/>
        <v>0.32420494699646646</v>
      </c>
      <c r="K171" s="298">
        <f>+(G171/F171)*E171</f>
        <v>1.2367491166077738E-2</v>
      </c>
      <c r="L171" s="348">
        <f t="shared" si="113"/>
        <v>0.22694346289752651</v>
      </c>
      <c r="M171" s="308">
        <v>17</v>
      </c>
      <c r="N171" s="533">
        <v>209</v>
      </c>
      <c r="O171" s="533">
        <v>0</v>
      </c>
      <c r="P171" s="533">
        <v>27</v>
      </c>
      <c r="Q171" s="308"/>
      <c r="R171" s="308">
        <f t="shared" si="109"/>
        <v>236</v>
      </c>
      <c r="S171" s="308">
        <f t="shared" si="110"/>
        <v>253</v>
      </c>
      <c r="T171" s="347">
        <f>+(M171/G171)</f>
        <v>0.85</v>
      </c>
      <c r="U171" s="295">
        <f t="shared" si="111"/>
        <v>0.64305177111716616</v>
      </c>
      <c r="V171" s="295">
        <f>+T171*E171</f>
        <v>0.59499999999999997</v>
      </c>
      <c r="W171" s="295">
        <f t="shared" si="112"/>
        <v>0.45013623978201628</v>
      </c>
      <c r="X171" s="295">
        <f>+M171/F171</f>
        <v>1.5017667844522967E-2</v>
      </c>
      <c r="Y171" s="295">
        <f t="shared" si="114"/>
        <v>0.22349823321554771</v>
      </c>
      <c r="Z171" s="301">
        <f>+X171*E171</f>
        <v>1.0512367491166076E-2</v>
      </c>
      <c r="AA171" s="301">
        <f>+Y171*E171</f>
        <v>0.15644876325088339</v>
      </c>
      <c r="AB171" s="296" t="s">
        <v>1775</v>
      </c>
      <c r="AC171" s="667" t="s">
        <v>1799</v>
      </c>
      <c r="AD171" s="272"/>
      <c r="AE171" s="594" t="s">
        <v>1866</v>
      </c>
      <c r="AF171" s="668" t="s">
        <v>1897</v>
      </c>
    </row>
    <row r="172" spans="1:32" ht="122.4" customHeight="1" thickBot="1" x14ac:dyDescent="0.45">
      <c r="A172" s="276"/>
      <c r="B172" s="910" t="s">
        <v>629</v>
      </c>
      <c r="C172" s="911" t="s">
        <v>630</v>
      </c>
      <c r="D172" s="645" t="s">
        <v>620</v>
      </c>
      <c r="E172" s="286">
        <v>0.3</v>
      </c>
      <c r="F172" s="287">
        <v>320</v>
      </c>
      <c r="G172" s="307">
        <v>15</v>
      </c>
      <c r="H172" s="308">
        <v>100</v>
      </c>
      <c r="I172" s="297">
        <f>+G172/F172</f>
        <v>4.6875E-2</v>
      </c>
      <c r="J172" s="297">
        <f t="shared" si="108"/>
        <v>0.3125</v>
      </c>
      <c r="K172" s="298">
        <f>+(G172/F172)*E172</f>
        <v>1.4062499999999999E-2</v>
      </c>
      <c r="L172" s="348">
        <f t="shared" si="113"/>
        <v>9.375E-2</v>
      </c>
      <c r="M172" s="308">
        <v>19</v>
      </c>
      <c r="N172" s="533">
        <v>46</v>
      </c>
      <c r="O172" s="533">
        <v>0</v>
      </c>
      <c r="P172" s="533">
        <v>6</v>
      </c>
      <c r="Q172" s="308"/>
      <c r="R172" s="308">
        <f t="shared" si="109"/>
        <v>52</v>
      </c>
      <c r="S172" s="308">
        <f t="shared" si="110"/>
        <v>71</v>
      </c>
      <c r="T172" s="347">
        <v>1</v>
      </c>
      <c r="U172" s="295">
        <f t="shared" si="111"/>
        <v>0.52</v>
      </c>
      <c r="V172" s="295">
        <f>+T172*E172</f>
        <v>0.3</v>
      </c>
      <c r="W172" s="295">
        <f t="shared" si="112"/>
        <v>0.156</v>
      </c>
      <c r="X172" s="295">
        <f>+M172/F172</f>
        <v>5.9374999999999997E-2</v>
      </c>
      <c r="Y172" s="295">
        <f t="shared" si="114"/>
        <v>0.22187499999999999</v>
      </c>
      <c r="Z172" s="295">
        <f>+X172*E172</f>
        <v>1.7812499999999998E-2</v>
      </c>
      <c r="AA172" s="295">
        <f>+Y172*E172</f>
        <v>6.6562499999999997E-2</v>
      </c>
      <c r="AB172" s="296" t="s">
        <v>1775</v>
      </c>
      <c r="AC172" s="667" t="s">
        <v>1799</v>
      </c>
      <c r="AD172" s="272"/>
      <c r="AE172" s="594" t="s">
        <v>1866</v>
      </c>
      <c r="AF172" s="668" t="s">
        <v>1897</v>
      </c>
    </row>
    <row r="173" spans="1:32" ht="122.4" customHeight="1" thickBot="1" x14ac:dyDescent="0.45">
      <c r="A173" s="276"/>
      <c r="B173" s="961" t="s">
        <v>1603</v>
      </c>
      <c r="C173" s="962"/>
      <c r="D173" s="627"/>
      <c r="E173" s="282">
        <v>0.1</v>
      </c>
      <c r="F173" s="287"/>
      <c r="G173" s="307"/>
      <c r="H173" s="308"/>
      <c r="I173" s="304">
        <f>+AVERAGE(I174:I175)</f>
        <v>0.25058139534883722</v>
      </c>
      <c r="J173" s="304">
        <f>+AVERAGE(J174:J175)</f>
        <v>0.25058139534883722</v>
      </c>
      <c r="K173" s="305">
        <f>+K174+K175</f>
        <v>0.2508139534883721</v>
      </c>
      <c r="L173" s="305">
        <f>+L174+L175</f>
        <v>0.2508139534883721</v>
      </c>
      <c r="M173" s="308"/>
      <c r="N173" s="344"/>
      <c r="O173" s="344"/>
      <c r="P173" s="344"/>
      <c r="Q173" s="344"/>
      <c r="R173" s="344"/>
      <c r="S173" s="344"/>
      <c r="T173" s="528">
        <f>+AVERAGE(T174:T175)</f>
        <v>1</v>
      </c>
      <c r="U173" s="329">
        <f>+AVERAGE(U174:U175)</f>
        <v>0.54416666666666669</v>
      </c>
      <c r="V173" s="329">
        <f>+(V174+V175)*E173</f>
        <v>0.1</v>
      </c>
      <c r="W173" s="329">
        <f>+(W174+W175)*E173</f>
        <v>4.9516666666666667E-2</v>
      </c>
      <c r="X173" s="284">
        <f>+AVERAGE(X174:X175)</f>
        <v>0.33380620155038759</v>
      </c>
      <c r="Y173" s="284">
        <f>+AVERAGE(Y174:Y175)</f>
        <v>0.47009302325581392</v>
      </c>
      <c r="Z173" s="284">
        <f>+(Z174+Z175)*E173</f>
        <v>3.3399534883720931E-2</v>
      </c>
      <c r="AA173" s="284">
        <f>+(AA174+AA175)</f>
        <v>0.45813023255813956</v>
      </c>
      <c r="AB173" s="285"/>
      <c r="AC173" s="271"/>
      <c r="AD173" s="272"/>
      <c r="AE173" s="272"/>
      <c r="AF173" s="272"/>
    </row>
    <row r="174" spans="1:32" ht="122.4" customHeight="1" thickBot="1" x14ac:dyDescent="0.45">
      <c r="A174" s="276"/>
      <c r="B174" s="903" t="s">
        <v>631</v>
      </c>
      <c r="C174" s="904" t="s">
        <v>632</v>
      </c>
      <c r="D174" s="486" t="s">
        <v>620</v>
      </c>
      <c r="E174" s="286">
        <v>0.7</v>
      </c>
      <c r="F174" s="287">
        <v>21500</v>
      </c>
      <c r="G174" s="307">
        <v>5400</v>
      </c>
      <c r="H174" s="308">
        <v>5400</v>
      </c>
      <c r="I174" s="297">
        <f>+G174/F174</f>
        <v>0.25116279069767444</v>
      </c>
      <c r="J174" s="297">
        <f t="shared" si="108"/>
        <v>0.25116279069767444</v>
      </c>
      <c r="K174" s="298">
        <f>+(G174/F174)*E174</f>
        <v>0.17581395348837209</v>
      </c>
      <c r="L174" s="348">
        <f t="shared" si="113"/>
        <v>0.17581395348837209</v>
      </c>
      <c r="M174" s="308">
        <v>7187</v>
      </c>
      <c r="N174" s="533">
        <v>300</v>
      </c>
      <c r="O174" s="533">
        <f>1338+205</f>
        <v>1543</v>
      </c>
      <c r="P174" s="533">
        <v>434</v>
      </c>
      <c r="Q174" s="308"/>
      <c r="R174" s="308">
        <f t="shared" si="109"/>
        <v>2277</v>
      </c>
      <c r="S174" s="308">
        <f t="shared" si="110"/>
        <v>9464</v>
      </c>
      <c r="T174" s="347">
        <v>1</v>
      </c>
      <c r="U174" s="295">
        <f t="shared" si="111"/>
        <v>0.42166666666666669</v>
      </c>
      <c r="V174" s="295">
        <f>+T174*E174</f>
        <v>0.7</v>
      </c>
      <c r="W174" s="295">
        <f t="shared" si="112"/>
        <v>0.29516666666666669</v>
      </c>
      <c r="X174" s="295">
        <f>+M174/F174</f>
        <v>0.33427906976744187</v>
      </c>
      <c r="Y174" s="295">
        <f t="shared" si="114"/>
        <v>0.4401860465116279</v>
      </c>
      <c r="Z174" s="295">
        <f>+X174*E174</f>
        <v>0.23399534883720929</v>
      </c>
      <c r="AA174" s="295">
        <f>+Y174*E174</f>
        <v>0.30813023255813954</v>
      </c>
      <c r="AB174" s="296" t="s">
        <v>1775</v>
      </c>
      <c r="AC174" s="271"/>
      <c r="AD174" s="272"/>
      <c r="AE174" s="594" t="s">
        <v>1866</v>
      </c>
      <c r="AF174" s="668" t="s">
        <v>1897</v>
      </c>
    </row>
    <row r="175" spans="1:32" ht="122.4" customHeight="1" thickBot="1" x14ac:dyDescent="0.45">
      <c r="A175" s="276"/>
      <c r="B175" s="912" t="s">
        <v>633</v>
      </c>
      <c r="C175" s="901" t="s">
        <v>634</v>
      </c>
      <c r="D175" s="486" t="s">
        <v>620</v>
      </c>
      <c r="E175" s="286">
        <v>0.3</v>
      </c>
      <c r="F175" s="287">
        <v>12</v>
      </c>
      <c r="G175" s="307">
        <v>3</v>
      </c>
      <c r="H175" s="308">
        <v>3</v>
      </c>
      <c r="I175" s="297">
        <f>+G175/F175</f>
        <v>0.25</v>
      </c>
      <c r="J175" s="297">
        <f>+H175/F175</f>
        <v>0.25</v>
      </c>
      <c r="K175" s="298">
        <f>+(G175/F175)*E175</f>
        <v>7.4999999999999997E-2</v>
      </c>
      <c r="L175" s="348">
        <f t="shared" si="113"/>
        <v>7.4999999999999997E-2</v>
      </c>
      <c r="M175" s="308">
        <v>4</v>
      </c>
      <c r="N175" s="533">
        <v>0.5</v>
      </c>
      <c r="O175" s="533">
        <v>1</v>
      </c>
      <c r="P175" s="533">
        <v>0.5</v>
      </c>
      <c r="Q175" s="308"/>
      <c r="R175" s="308">
        <f t="shared" si="109"/>
        <v>2</v>
      </c>
      <c r="S175" s="308">
        <f t="shared" si="110"/>
        <v>6</v>
      </c>
      <c r="T175" s="347">
        <v>1</v>
      </c>
      <c r="U175" s="295">
        <f t="shared" si="111"/>
        <v>0.66666666666666663</v>
      </c>
      <c r="V175" s="295">
        <f>+T175*E175</f>
        <v>0.3</v>
      </c>
      <c r="W175" s="295">
        <f t="shared" si="112"/>
        <v>0.19999999999999998</v>
      </c>
      <c r="X175" s="295">
        <f>+M175/F175</f>
        <v>0.33333333333333331</v>
      </c>
      <c r="Y175" s="295">
        <f t="shared" si="114"/>
        <v>0.5</v>
      </c>
      <c r="Z175" s="295">
        <f>+X175*E175</f>
        <v>9.9999999999999992E-2</v>
      </c>
      <c r="AA175" s="295">
        <f>+Y175*E175</f>
        <v>0.15</v>
      </c>
      <c r="AB175" s="296" t="s">
        <v>1775</v>
      </c>
      <c r="AC175" s="271"/>
      <c r="AD175" s="272"/>
      <c r="AE175" s="594" t="s">
        <v>1866</v>
      </c>
      <c r="AF175" s="668" t="s">
        <v>1897</v>
      </c>
    </row>
    <row r="176" spans="1:32" ht="122.4" customHeight="1" thickBot="1" x14ac:dyDescent="0.45">
      <c r="A176" s="276"/>
      <c r="B176" s="964" t="s">
        <v>1604</v>
      </c>
      <c r="C176" s="965"/>
      <c r="D176" s="487"/>
      <c r="E176" s="282">
        <v>0.1</v>
      </c>
      <c r="F176" s="287"/>
      <c r="G176" s="307"/>
      <c r="H176" s="308"/>
      <c r="I176" s="304">
        <f>+AVERAGE(I177:I181)</f>
        <v>0.40547619047619043</v>
      </c>
      <c r="J176" s="304">
        <f>+AVERAGE(J177:J181)</f>
        <v>0.26428571428571429</v>
      </c>
      <c r="K176" s="305">
        <f>+K177+K178+K179+K180+K181</f>
        <v>0.29269047619047617</v>
      </c>
      <c r="L176" s="305">
        <f>+L177+L178+L179+L180+L181</f>
        <v>0.27214285714285719</v>
      </c>
      <c r="M176" s="308"/>
      <c r="N176" s="344"/>
      <c r="O176" s="344"/>
      <c r="P176" s="344"/>
      <c r="Q176" s="344"/>
      <c r="R176" s="344"/>
      <c r="S176" s="344"/>
      <c r="T176" s="528">
        <f>+AVERAGE(T177:T181)</f>
        <v>0.95348837209302328</v>
      </c>
      <c r="U176" s="329">
        <f>+AVERAGE(U177:U181)</f>
        <v>0.7850720083791568</v>
      </c>
      <c r="V176" s="329">
        <f>+(V177+V178+V179+V180+V181)*E176</f>
        <v>7.7209302325581403E-2</v>
      </c>
      <c r="W176" s="329">
        <f>+(W177+W178+W179+W180+W181)*E176</f>
        <v>7.8462555642838452E-2</v>
      </c>
      <c r="X176" s="284">
        <f>+AVERAGE(X177:X181)</f>
        <v>0.36753669154228857</v>
      </c>
      <c r="Y176" s="284">
        <f>+AVERAGE(Y177:Y181)</f>
        <v>0.50259459843638954</v>
      </c>
      <c r="Z176" s="284">
        <f>+(Z177+Z178+Z179+Z180+Z181)*E176</f>
        <v>2.7086664889836534E-2</v>
      </c>
      <c r="AA176" s="284">
        <f>+(AA177+AA178+AA179+AA180+AA181)</f>
        <v>0.48307880241648904</v>
      </c>
      <c r="AB176" s="285"/>
      <c r="AC176" s="271"/>
      <c r="AD176" s="272"/>
      <c r="AE176" s="258"/>
      <c r="AF176" s="272"/>
    </row>
    <row r="177" spans="1:32" ht="122.4" customHeight="1" thickBot="1" x14ac:dyDescent="0.45">
      <c r="A177" s="276"/>
      <c r="B177" s="910" t="s">
        <v>635</v>
      </c>
      <c r="C177" s="913" t="s">
        <v>636</v>
      </c>
      <c r="D177" s="644" t="s">
        <v>620</v>
      </c>
      <c r="E177" s="286">
        <v>0.3</v>
      </c>
      <c r="F177" s="287">
        <v>26800</v>
      </c>
      <c r="G177" s="353">
        <v>6700</v>
      </c>
      <c r="H177" s="354">
        <v>6700</v>
      </c>
      <c r="I177" s="297">
        <f>+G177/F177</f>
        <v>0.25</v>
      </c>
      <c r="J177" s="297">
        <f>+H177/F177</f>
        <v>0.25</v>
      </c>
      <c r="K177" s="298">
        <f>+(G177/F177)*E177</f>
        <v>7.4999999999999997E-2</v>
      </c>
      <c r="L177" s="345">
        <f t="shared" si="113"/>
        <v>7.4999999999999997E-2</v>
      </c>
      <c r="M177" s="355">
        <v>6762</v>
      </c>
      <c r="N177" s="534">
        <v>1239</v>
      </c>
      <c r="O177" s="534">
        <f>4537+659</f>
        <v>5196</v>
      </c>
      <c r="P177" s="534">
        <v>0</v>
      </c>
      <c r="Q177" s="355"/>
      <c r="R177" s="355">
        <f t="shared" si="109"/>
        <v>6435</v>
      </c>
      <c r="S177" s="355">
        <f t="shared" si="110"/>
        <v>13197</v>
      </c>
      <c r="T177" s="347">
        <v>1</v>
      </c>
      <c r="U177" s="295">
        <f t="shared" si="111"/>
        <v>0.96044776119402986</v>
      </c>
      <c r="V177" s="295">
        <f>+T177*E177</f>
        <v>0.3</v>
      </c>
      <c r="W177" s="295">
        <f t="shared" si="112"/>
        <v>0.28813432835820896</v>
      </c>
      <c r="X177" s="295">
        <f>+M177/F177</f>
        <v>0.25231343283582092</v>
      </c>
      <c r="Y177" s="295">
        <f t="shared" si="114"/>
        <v>0.49242537313432838</v>
      </c>
      <c r="Z177" s="295">
        <f>+X177*E177</f>
        <v>7.5694029850746275E-2</v>
      </c>
      <c r="AA177" s="295">
        <f>+Y177*E177</f>
        <v>0.14772761194029851</v>
      </c>
      <c r="AB177" s="296" t="s">
        <v>1775</v>
      </c>
      <c r="AC177" s="667" t="s">
        <v>1799</v>
      </c>
      <c r="AD177" s="667" t="s">
        <v>1860</v>
      </c>
      <c r="AE177" s="655" t="s">
        <v>1866</v>
      </c>
      <c r="AF177" s="655" t="s">
        <v>1897</v>
      </c>
    </row>
    <row r="178" spans="1:32" ht="122.4" customHeight="1" thickBot="1" x14ac:dyDescent="0.45">
      <c r="A178" s="276"/>
      <c r="B178" s="910" t="s">
        <v>637</v>
      </c>
      <c r="C178" s="913" t="s">
        <v>638</v>
      </c>
      <c r="D178" s="486" t="s">
        <v>620</v>
      </c>
      <c r="E178" s="286">
        <v>0.1</v>
      </c>
      <c r="F178" s="287">
        <f>(51*4)+ (6)</f>
        <v>210</v>
      </c>
      <c r="G178" s="307">
        <v>55</v>
      </c>
      <c r="H178" s="308">
        <v>57</v>
      </c>
      <c r="I178" s="297">
        <f>+G178/F178</f>
        <v>0.26190476190476192</v>
      </c>
      <c r="J178" s="297">
        <f t="shared" ref="J178:J191" si="115">+H178/F178</f>
        <v>0.27142857142857141</v>
      </c>
      <c r="K178" s="298">
        <f>+(G178/F178)*E178</f>
        <v>2.6190476190476195E-2</v>
      </c>
      <c r="L178" s="348">
        <f t="shared" si="113"/>
        <v>2.7142857142857142E-2</v>
      </c>
      <c r="M178" s="308">
        <v>55</v>
      </c>
      <c r="N178" s="533"/>
      <c r="O178" s="533">
        <v>55</v>
      </c>
      <c r="P178" s="533">
        <v>0</v>
      </c>
      <c r="Q178" s="308"/>
      <c r="R178" s="308">
        <f t="shared" si="109"/>
        <v>55</v>
      </c>
      <c r="S178" s="308">
        <f>+R178+M178+4+4</f>
        <v>118</v>
      </c>
      <c r="T178" s="347">
        <f>+(M178/G178)</f>
        <v>1</v>
      </c>
      <c r="U178" s="295">
        <f t="shared" si="111"/>
        <v>0.96491228070175439</v>
      </c>
      <c r="V178" s="295">
        <f>+T178*E178</f>
        <v>0.1</v>
      </c>
      <c r="W178" s="295">
        <f t="shared" si="112"/>
        <v>9.6491228070175447E-2</v>
      </c>
      <c r="X178" s="295">
        <f>+M178/F178</f>
        <v>0.26190476190476192</v>
      </c>
      <c r="Y178" s="295">
        <f t="shared" si="114"/>
        <v>0.56190476190476191</v>
      </c>
      <c r="Z178" s="295">
        <f>+X178*E178</f>
        <v>2.6190476190476195E-2</v>
      </c>
      <c r="AA178" s="295">
        <f>+Y178*E178</f>
        <v>5.6190476190476193E-2</v>
      </c>
      <c r="AB178" s="592" t="s">
        <v>1775</v>
      </c>
      <c r="AC178" s="652" t="s">
        <v>1835</v>
      </c>
      <c r="AD178" s="667" t="s">
        <v>1860</v>
      </c>
      <c r="AE178" s="664" t="s">
        <v>1870</v>
      </c>
      <c r="AF178" s="667" t="s">
        <v>1897</v>
      </c>
    </row>
    <row r="179" spans="1:32" ht="188.4" customHeight="1" thickBot="1" x14ac:dyDescent="0.45">
      <c r="A179" s="276"/>
      <c r="B179" s="905" t="s">
        <v>639</v>
      </c>
      <c r="C179" s="906" t="s">
        <v>640</v>
      </c>
      <c r="D179" s="644" t="s">
        <v>641</v>
      </c>
      <c r="E179" s="286">
        <v>0.2</v>
      </c>
      <c r="F179" s="287">
        <v>4</v>
      </c>
      <c r="G179" s="307">
        <v>0</v>
      </c>
      <c r="H179" s="308">
        <v>2</v>
      </c>
      <c r="I179" s="297"/>
      <c r="J179" s="297">
        <f t="shared" si="115"/>
        <v>0.5</v>
      </c>
      <c r="K179" s="298"/>
      <c r="L179" s="348">
        <f t="shared" si="113"/>
        <v>0.1</v>
      </c>
      <c r="M179" s="308"/>
      <c r="N179" s="533">
        <v>0</v>
      </c>
      <c r="O179" s="533">
        <v>0</v>
      </c>
      <c r="P179" s="533">
        <v>0</v>
      </c>
      <c r="Q179" s="308"/>
      <c r="R179" s="308">
        <f t="shared" si="109"/>
        <v>0</v>
      </c>
      <c r="S179" s="308">
        <f t="shared" si="110"/>
        <v>0</v>
      </c>
      <c r="T179" s="347"/>
      <c r="U179" s="295">
        <f t="shared" si="111"/>
        <v>0</v>
      </c>
      <c r="V179" s="295"/>
      <c r="W179" s="295">
        <f t="shared" si="112"/>
        <v>0</v>
      </c>
      <c r="X179" s="295"/>
      <c r="Y179" s="295">
        <f t="shared" si="114"/>
        <v>0</v>
      </c>
      <c r="Z179" s="295"/>
      <c r="AA179" s="295">
        <f>+Y179*E179</f>
        <v>0</v>
      </c>
      <c r="AB179" s="296" t="s">
        <v>1775</v>
      </c>
      <c r="AC179" s="652" t="s">
        <v>1836</v>
      </c>
      <c r="AD179" s="667" t="s">
        <v>1860</v>
      </c>
      <c r="AE179" s="655" t="s">
        <v>1866</v>
      </c>
      <c r="AF179" s="667" t="s">
        <v>1897</v>
      </c>
    </row>
    <row r="180" spans="1:32" ht="122.4" customHeight="1" thickBot="1" x14ac:dyDescent="0.45">
      <c r="A180" s="276"/>
      <c r="B180" s="910" t="s">
        <v>642</v>
      </c>
      <c r="C180" s="911" t="s">
        <v>643</v>
      </c>
      <c r="D180" s="486" t="s">
        <v>620</v>
      </c>
      <c r="E180" s="286">
        <v>0.25</v>
      </c>
      <c r="F180" s="287">
        <v>28000</v>
      </c>
      <c r="G180" s="307">
        <v>7000</v>
      </c>
      <c r="H180" s="308">
        <v>7000</v>
      </c>
      <c r="I180" s="297">
        <f>+G180/F180</f>
        <v>0.25</v>
      </c>
      <c r="J180" s="297">
        <f t="shared" si="115"/>
        <v>0.25</v>
      </c>
      <c r="K180" s="298">
        <f>+(G180/F180)*E180</f>
        <v>6.25E-2</v>
      </c>
      <c r="L180" s="348">
        <f t="shared" si="113"/>
        <v>6.25E-2</v>
      </c>
      <c r="M180" s="308">
        <v>7166</v>
      </c>
      <c r="N180" s="533">
        <v>429</v>
      </c>
      <c r="O180" s="533">
        <f>8552-N180+1184</f>
        <v>9307</v>
      </c>
      <c r="P180" s="533">
        <v>0</v>
      </c>
      <c r="Q180" s="308"/>
      <c r="R180" s="308">
        <f t="shared" si="109"/>
        <v>9736</v>
      </c>
      <c r="S180" s="308">
        <f t="shared" si="110"/>
        <v>16902</v>
      </c>
      <c r="T180" s="347">
        <v>1</v>
      </c>
      <c r="U180" s="295">
        <v>1</v>
      </c>
      <c r="V180" s="295">
        <f>+T180*E180</f>
        <v>0.25</v>
      </c>
      <c r="W180" s="295">
        <f t="shared" si="112"/>
        <v>0.25</v>
      </c>
      <c r="X180" s="295">
        <f>+M180/F180</f>
        <v>0.25592857142857145</v>
      </c>
      <c r="Y180" s="295">
        <f t="shared" si="114"/>
        <v>0.60364285714285715</v>
      </c>
      <c r="Z180" s="295">
        <f>+X180*E180</f>
        <v>6.3982142857142862E-2</v>
      </c>
      <c r="AA180" s="295">
        <f>+Y180*E180</f>
        <v>0.15091071428571429</v>
      </c>
      <c r="AB180" s="296" t="s">
        <v>1775</v>
      </c>
      <c r="AC180" s="667" t="s">
        <v>1799</v>
      </c>
      <c r="AD180" s="667" t="s">
        <v>1860</v>
      </c>
      <c r="AE180" s="655" t="s">
        <v>1866</v>
      </c>
      <c r="AF180" s="667" t="s">
        <v>1897</v>
      </c>
    </row>
    <row r="181" spans="1:32" ht="162.6" customHeight="1" thickBot="1" x14ac:dyDescent="0.45">
      <c r="A181" s="276"/>
      <c r="B181" s="831" t="s">
        <v>644</v>
      </c>
      <c r="C181" s="832" t="s">
        <v>645</v>
      </c>
      <c r="D181" s="646" t="s">
        <v>641</v>
      </c>
      <c r="E181" s="286">
        <v>0.15</v>
      </c>
      <c r="F181" s="287">
        <v>200</v>
      </c>
      <c r="G181" s="307">
        <v>172</v>
      </c>
      <c r="H181" s="308">
        <v>10</v>
      </c>
      <c r="I181" s="297">
        <f>+G181/F181</f>
        <v>0.86</v>
      </c>
      <c r="J181" s="297">
        <f t="shared" si="115"/>
        <v>0.05</v>
      </c>
      <c r="K181" s="298">
        <f>+(G181/F181)*E181</f>
        <v>0.129</v>
      </c>
      <c r="L181" s="348">
        <f t="shared" si="113"/>
        <v>7.4999999999999997E-3</v>
      </c>
      <c r="M181" s="308">
        <v>140</v>
      </c>
      <c r="N181" s="533">
        <v>0</v>
      </c>
      <c r="O181" s="533">
        <v>0</v>
      </c>
      <c r="P181" s="533">
        <v>31</v>
      </c>
      <c r="Q181" s="308"/>
      <c r="R181" s="308">
        <f t="shared" si="109"/>
        <v>31</v>
      </c>
      <c r="S181" s="308">
        <f>+R181+M181</f>
        <v>171</v>
      </c>
      <c r="T181" s="347">
        <f>+(M181/G181)</f>
        <v>0.81395348837209303</v>
      </c>
      <c r="U181" s="295">
        <v>1</v>
      </c>
      <c r="V181" s="295">
        <f>+T181*E181</f>
        <v>0.12209302325581395</v>
      </c>
      <c r="W181" s="295">
        <f t="shared" si="112"/>
        <v>0.15</v>
      </c>
      <c r="X181" s="295">
        <f>+M181/F181</f>
        <v>0.7</v>
      </c>
      <c r="Y181" s="295">
        <f>+S181/F181</f>
        <v>0.85499999999999998</v>
      </c>
      <c r="Z181" s="295">
        <f>+X181*E181</f>
        <v>0.105</v>
      </c>
      <c r="AA181" s="295">
        <f>+Y181*E181</f>
        <v>0.12825</v>
      </c>
      <c r="AB181" s="296" t="s">
        <v>1775</v>
      </c>
      <c r="AC181" s="652" t="s">
        <v>1837</v>
      </c>
      <c r="AD181" s="667" t="s">
        <v>1860</v>
      </c>
      <c r="AE181" s="664" t="s">
        <v>1871</v>
      </c>
      <c r="AF181" s="868" t="s">
        <v>1906</v>
      </c>
    </row>
    <row r="182" spans="1:32" ht="122.4" customHeight="1" thickBot="1" x14ac:dyDescent="0.45">
      <c r="A182" s="276"/>
      <c r="B182" s="955" t="s">
        <v>1605</v>
      </c>
      <c r="C182" s="956"/>
      <c r="D182" s="632"/>
      <c r="E182" s="282">
        <v>0.1</v>
      </c>
      <c r="F182" s="287"/>
      <c r="G182" s="307"/>
      <c r="H182" s="308"/>
      <c r="I182" s="304">
        <f>+AVERAGE(I183)</f>
        <v>0.25409836065573771</v>
      </c>
      <c r="J182" s="304">
        <f>+AVERAGE(J183)</f>
        <v>0.25</v>
      </c>
      <c r="K182" s="305">
        <f>+K183</f>
        <v>0.25409836065573771</v>
      </c>
      <c r="L182" s="305">
        <f>+L183</f>
        <v>0.25</v>
      </c>
      <c r="M182" s="308"/>
      <c r="N182" s="344"/>
      <c r="O182" s="344"/>
      <c r="P182" s="344"/>
      <c r="Q182" s="344"/>
      <c r="R182" s="344"/>
      <c r="S182" s="344"/>
      <c r="T182" s="528">
        <f>+AVERAGE(T183)</f>
        <v>1</v>
      </c>
      <c r="U182" s="329">
        <f>+AVERAGE(U183)</f>
        <v>0.57265573770491807</v>
      </c>
      <c r="V182" s="329">
        <f>+(V183)*E182</f>
        <v>0.1</v>
      </c>
      <c r="W182" s="329">
        <f>+(W183)*E182</f>
        <v>5.7265573770491809E-2</v>
      </c>
      <c r="X182" s="284">
        <f>+AVERAGE(X183)</f>
        <v>0.25537704918032789</v>
      </c>
      <c r="Y182" s="284">
        <f>+AVERAGE(Y183)</f>
        <v>0.39854098360655738</v>
      </c>
      <c r="Z182" s="284">
        <f>+(Z183)*E182</f>
        <v>2.553770491803279E-2</v>
      </c>
      <c r="AA182" s="284">
        <f>+(AA183)</f>
        <v>0.39854098360655738</v>
      </c>
      <c r="AB182" s="285"/>
      <c r="AC182" s="271"/>
      <c r="AD182" s="272"/>
      <c r="AE182" s="272"/>
      <c r="AF182" s="272"/>
    </row>
    <row r="183" spans="1:32" ht="122.4" customHeight="1" thickBot="1" x14ac:dyDescent="0.45">
      <c r="A183" s="276"/>
      <c r="B183" s="896" t="s">
        <v>646</v>
      </c>
      <c r="C183" s="907" t="s">
        <v>647</v>
      </c>
      <c r="D183" s="639" t="s">
        <v>620</v>
      </c>
      <c r="E183" s="286">
        <v>1</v>
      </c>
      <c r="F183" s="287">
        <v>61000</v>
      </c>
      <c r="G183" s="307">
        <v>15500</v>
      </c>
      <c r="H183" s="308">
        <v>15250</v>
      </c>
      <c r="I183" s="297">
        <f>+G183/F183</f>
        <v>0.25409836065573771</v>
      </c>
      <c r="J183" s="297">
        <f t="shared" si="115"/>
        <v>0.25</v>
      </c>
      <c r="K183" s="298">
        <f>+(G183/F183)*E183</f>
        <v>0.25409836065573771</v>
      </c>
      <c r="L183" s="348">
        <f t="shared" si="113"/>
        <v>0.25</v>
      </c>
      <c r="M183" s="308">
        <v>15578</v>
      </c>
      <c r="N183" s="533">
        <v>264</v>
      </c>
      <c r="O183" s="533">
        <f>1865-N183+3400</f>
        <v>5001</v>
      </c>
      <c r="P183" s="533">
        <v>3468</v>
      </c>
      <c r="Q183" s="308"/>
      <c r="R183" s="308">
        <f t="shared" si="109"/>
        <v>8733</v>
      </c>
      <c r="S183" s="308">
        <f t="shared" si="110"/>
        <v>24311</v>
      </c>
      <c r="T183" s="370">
        <v>1</v>
      </c>
      <c r="U183" s="295">
        <f t="shared" si="111"/>
        <v>0.57265573770491807</v>
      </c>
      <c r="V183" s="295">
        <f>+T183*E183</f>
        <v>1</v>
      </c>
      <c r="W183" s="295">
        <f>+U183*E183</f>
        <v>0.57265573770491807</v>
      </c>
      <c r="X183" s="295">
        <f>+M183/F183</f>
        <v>0.25537704918032789</v>
      </c>
      <c r="Y183" s="295">
        <f>+S183/F183</f>
        <v>0.39854098360655738</v>
      </c>
      <c r="Z183" s="295">
        <f>+X183*E183</f>
        <v>0.25537704918032789</v>
      </c>
      <c r="AA183" s="295">
        <f>+Y183*E183</f>
        <v>0.39854098360655738</v>
      </c>
      <c r="AB183" s="296" t="s">
        <v>1775</v>
      </c>
      <c r="AC183" s="667" t="s">
        <v>1799</v>
      </c>
      <c r="AD183" s="272"/>
      <c r="AE183" s="655" t="s">
        <v>1866</v>
      </c>
      <c r="AF183" s="667" t="s">
        <v>1897</v>
      </c>
    </row>
    <row r="184" spans="1:32" ht="122.4" customHeight="1" thickBot="1" x14ac:dyDescent="0.45">
      <c r="A184" s="276"/>
      <c r="B184" s="955" t="s">
        <v>1606</v>
      </c>
      <c r="C184" s="956"/>
      <c r="D184" s="633"/>
      <c r="E184" s="282">
        <v>0.1</v>
      </c>
      <c r="F184" s="287"/>
      <c r="G184" s="307"/>
      <c r="H184" s="308"/>
      <c r="I184" s="304">
        <f>+AVERAGE(I185:I186)</f>
        <v>0.25</v>
      </c>
      <c r="J184" s="304">
        <f>+AVERAGE(J185:J186)</f>
        <v>0.25948888888888888</v>
      </c>
      <c r="K184" s="305">
        <f>+K185+K186</f>
        <v>0.25</v>
      </c>
      <c r="L184" s="529">
        <f>+L185+L186</f>
        <v>0.25981777777777776</v>
      </c>
      <c r="M184" s="308"/>
      <c r="N184" s="344"/>
      <c r="O184" s="344"/>
      <c r="P184" s="344"/>
      <c r="Q184" s="344"/>
      <c r="R184" s="344"/>
      <c r="S184" s="344"/>
      <c r="T184" s="329">
        <f>+AVERAGE(T185:T186)</f>
        <v>1</v>
      </c>
      <c r="U184" s="528">
        <f>+AVERAGE(U185:U186)</f>
        <v>0.98817124735729389</v>
      </c>
      <c r="V184" s="329">
        <f>+(V185+V186)*E184</f>
        <v>0.1</v>
      </c>
      <c r="W184" s="329">
        <f>+(W185+W186)*F184</f>
        <v>0</v>
      </c>
      <c r="X184" s="284">
        <f>+AVERAGE(X185:X186)</f>
        <v>0.30041388888888887</v>
      </c>
      <c r="Y184" s="284">
        <f>+AVERAGE(Y185:Y186)</f>
        <v>0.58985694444444436</v>
      </c>
      <c r="Z184" s="284">
        <f>+(Z185+Z186)*E184</f>
        <v>3.0235694444444447E-2</v>
      </c>
      <c r="AA184" s="284">
        <f>+(AA185+AA186)</f>
        <v>0.5885118055555556</v>
      </c>
      <c r="AB184" s="285"/>
      <c r="AC184" s="271"/>
      <c r="AD184" s="272"/>
      <c r="AE184" s="272"/>
      <c r="AF184" s="272"/>
    </row>
    <row r="185" spans="1:32" ht="122.4" customHeight="1" thickBot="1" x14ac:dyDescent="0.45">
      <c r="A185" s="276"/>
      <c r="B185" s="896" t="s">
        <v>648</v>
      </c>
      <c r="C185" s="907" t="s">
        <v>649</v>
      </c>
      <c r="D185" s="639" t="s">
        <v>620</v>
      </c>
      <c r="E185" s="286">
        <v>0.55000000000000004</v>
      </c>
      <c r="F185" s="287">
        <v>180000</v>
      </c>
      <c r="G185" s="307">
        <v>45000</v>
      </c>
      <c r="H185" s="308">
        <v>47300</v>
      </c>
      <c r="I185" s="297">
        <f>+G185/F185</f>
        <v>0.25</v>
      </c>
      <c r="J185" s="297">
        <f t="shared" si="115"/>
        <v>0.26277777777777778</v>
      </c>
      <c r="K185" s="348">
        <f>+(G185/F185)*E185</f>
        <v>0.13750000000000001</v>
      </c>
      <c r="L185" s="360">
        <f t="shared" si="113"/>
        <v>0.14452777777777778</v>
      </c>
      <c r="M185" s="354">
        <v>57572</v>
      </c>
      <c r="N185" s="535">
        <v>4292</v>
      </c>
      <c r="O185" s="354">
        <f>31848-N185+2645</f>
        <v>30201</v>
      </c>
      <c r="P185" s="354">
        <v>11688</v>
      </c>
      <c r="Q185" s="354"/>
      <c r="R185" s="354">
        <f t="shared" si="109"/>
        <v>46181</v>
      </c>
      <c r="S185" s="354">
        <f t="shared" si="110"/>
        <v>103753</v>
      </c>
      <c r="T185" s="531">
        <v>1</v>
      </c>
      <c r="U185" s="295">
        <f t="shared" si="111"/>
        <v>0.97634249471458778</v>
      </c>
      <c r="V185" s="295">
        <f>+T185*E185</f>
        <v>0.55000000000000004</v>
      </c>
      <c r="W185" s="295">
        <f t="shared" ref="W185:W186" si="116">+U185*E185</f>
        <v>0.5369883720930233</v>
      </c>
      <c r="X185" s="295">
        <f>+M185/F185</f>
        <v>0.31984444444444443</v>
      </c>
      <c r="Y185" s="295">
        <f t="shared" ref="Y185:Y186" si="117">+S185/F185</f>
        <v>0.5764055555555555</v>
      </c>
      <c r="Z185" s="295">
        <f>+X185*E185</f>
        <v>0.17591444444444446</v>
      </c>
      <c r="AA185" s="295">
        <f>+Y185*E185</f>
        <v>0.31702305555555554</v>
      </c>
      <c r="AB185" s="296" t="s">
        <v>1775</v>
      </c>
      <c r="AC185" s="667" t="s">
        <v>1799</v>
      </c>
      <c r="AD185" s="272"/>
      <c r="AE185" s="655" t="s">
        <v>1866</v>
      </c>
      <c r="AF185" s="667" t="s">
        <v>1897</v>
      </c>
    </row>
    <row r="186" spans="1:32" ht="122.4" customHeight="1" thickBot="1" x14ac:dyDescent="0.45">
      <c r="A186" s="276"/>
      <c r="B186" s="896" t="s">
        <v>650</v>
      </c>
      <c r="C186" s="907" t="s">
        <v>651</v>
      </c>
      <c r="D186" s="639" t="s">
        <v>620</v>
      </c>
      <c r="E186" s="286">
        <v>0.45</v>
      </c>
      <c r="F186" s="287">
        <v>120000</v>
      </c>
      <c r="G186" s="307">
        <v>30000</v>
      </c>
      <c r="H186" s="308">
        <v>30744</v>
      </c>
      <c r="I186" s="297">
        <f>+G186/F186</f>
        <v>0.25</v>
      </c>
      <c r="J186" s="297">
        <f t="shared" si="115"/>
        <v>0.25619999999999998</v>
      </c>
      <c r="K186" s="298">
        <f>+(G186/F186)*E186</f>
        <v>0.1125</v>
      </c>
      <c r="L186" s="345">
        <f t="shared" si="113"/>
        <v>0.11528999999999999</v>
      </c>
      <c r="M186" s="355">
        <v>33718</v>
      </c>
      <c r="N186" s="534">
        <v>10000</v>
      </c>
      <c r="O186" s="355">
        <f>20067-N186+5862</f>
        <v>15929</v>
      </c>
      <c r="P186" s="355">
        <v>12750</v>
      </c>
      <c r="Q186" s="355"/>
      <c r="R186" s="355">
        <f>+N186+O186+P186+Q186</f>
        <v>38679</v>
      </c>
      <c r="S186" s="355">
        <f t="shared" si="110"/>
        <v>72397</v>
      </c>
      <c r="T186" s="347">
        <v>1</v>
      </c>
      <c r="U186" s="295">
        <v>1</v>
      </c>
      <c r="V186" s="295">
        <f>+T186*E186</f>
        <v>0.45</v>
      </c>
      <c r="W186" s="295">
        <f t="shared" si="116"/>
        <v>0.45</v>
      </c>
      <c r="X186" s="295">
        <f>+M186/F186</f>
        <v>0.28098333333333331</v>
      </c>
      <c r="Y186" s="295">
        <f t="shared" si="117"/>
        <v>0.60330833333333334</v>
      </c>
      <c r="Z186" s="295">
        <f>+X186*E186</f>
        <v>0.12644249999999999</v>
      </c>
      <c r="AA186" s="295">
        <f>+Y186*E186</f>
        <v>0.27148875</v>
      </c>
      <c r="AB186" s="296" t="s">
        <v>1775</v>
      </c>
      <c r="AC186" s="667" t="s">
        <v>1799</v>
      </c>
      <c r="AD186" s="272"/>
      <c r="AE186" s="655" t="s">
        <v>1866</v>
      </c>
      <c r="AF186" s="667" t="s">
        <v>1897</v>
      </c>
    </row>
    <row r="187" spans="1:32" ht="122.4" customHeight="1" thickBot="1" x14ac:dyDescent="0.45">
      <c r="A187" s="276"/>
      <c r="B187" s="955" t="s">
        <v>1607</v>
      </c>
      <c r="C187" s="956"/>
      <c r="D187" s="633"/>
      <c r="E187" s="282">
        <v>0.05</v>
      </c>
      <c r="F187" s="287"/>
      <c r="G187" s="307"/>
      <c r="H187" s="308"/>
      <c r="I187" s="304">
        <f>+AVERAGE(I188:I191)</f>
        <v>0.16762820512820512</v>
      </c>
      <c r="J187" s="304">
        <f>+AVERAGE(J188:J191)</f>
        <v>0.26798878205128207</v>
      </c>
      <c r="K187" s="305">
        <f>+K188+K189+K190+K191</f>
        <v>0.1792948717948718</v>
      </c>
      <c r="L187" s="305">
        <f>+L188+L189+L190+L191</f>
        <v>0.26496794871794871</v>
      </c>
      <c r="M187" s="308"/>
      <c r="N187" s="344"/>
      <c r="O187" s="344"/>
      <c r="P187" s="344"/>
      <c r="Q187" s="344"/>
      <c r="R187" s="344"/>
      <c r="S187" s="344"/>
      <c r="T187" s="528">
        <f>+AVERAGE(T188:T191)</f>
        <v>1</v>
      </c>
      <c r="U187" s="329">
        <f>+AVERAGE(U188:U191)</f>
        <v>0.63583333333333325</v>
      </c>
      <c r="V187" s="329">
        <f>+(V188+V189+V190+V191)*E187</f>
        <v>0.05</v>
      </c>
      <c r="W187" s="329">
        <f>+(W188+W189+W190+W191)*E187</f>
        <v>3.5433333333333338E-2</v>
      </c>
      <c r="X187" s="284">
        <f>+AVERAGE(X188:X191)</f>
        <v>0.38750608974358969</v>
      </c>
      <c r="Y187" s="284">
        <f>+AVERAGE(Y188:Y191)</f>
        <v>0.66062019230769231</v>
      </c>
      <c r="Z187" s="284">
        <f>+(Z188+Z189+Z190+Z191)*E187</f>
        <v>1.9255512820512823E-2</v>
      </c>
      <c r="AA187" s="284">
        <f>+(AA188+AA189+AA190+AA191)</f>
        <v>0.71705769230769234</v>
      </c>
      <c r="AB187" s="285"/>
      <c r="AC187" s="271"/>
      <c r="AD187" s="272"/>
      <c r="AE187" s="272"/>
      <c r="AF187" s="272"/>
    </row>
    <row r="188" spans="1:32" ht="122.4" customHeight="1" thickBot="1" x14ac:dyDescent="0.45">
      <c r="A188" s="276"/>
      <c r="B188" s="897" t="s">
        <v>652</v>
      </c>
      <c r="C188" s="898" t="s">
        <v>653</v>
      </c>
      <c r="D188" s="639" t="s">
        <v>620</v>
      </c>
      <c r="E188" s="286">
        <v>0.2</v>
      </c>
      <c r="F188" s="287">
        <v>200</v>
      </c>
      <c r="G188" s="307">
        <v>20</v>
      </c>
      <c r="H188" s="308">
        <v>60</v>
      </c>
      <c r="I188" s="297">
        <f>+G188/F188</f>
        <v>0.1</v>
      </c>
      <c r="J188" s="297">
        <f t="shared" si="115"/>
        <v>0.3</v>
      </c>
      <c r="K188" s="298">
        <f>+(G188/F188)*E188</f>
        <v>2.0000000000000004E-2</v>
      </c>
      <c r="L188" s="348">
        <f t="shared" si="113"/>
        <v>0.06</v>
      </c>
      <c r="M188" s="308">
        <v>70</v>
      </c>
      <c r="N188" s="533">
        <v>5</v>
      </c>
      <c r="O188" s="308">
        <v>10</v>
      </c>
      <c r="P188" s="308">
        <v>8</v>
      </c>
      <c r="Q188" s="308"/>
      <c r="R188" s="308">
        <f t="shared" si="109"/>
        <v>23</v>
      </c>
      <c r="S188" s="308">
        <f t="shared" si="110"/>
        <v>93</v>
      </c>
      <c r="T188" s="347">
        <v>1</v>
      </c>
      <c r="U188" s="295">
        <f t="shared" si="111"/>
        <v>0.38333333333333336</v>
      </c>
      <c r="V188" s="295">
        <f>+T188*E188</f>
        <v>0.2</v>
      </c>
      <c r="W188" s="295">
        <f t="shared" ref="W188:W191" si="118">+U188*E188</f>
        <v>7.6666666666666675E-2</v>
      </c>
      <c r="X188" s="295">
        <f>+M188/F188</f>
        <v>0.35</v>
      </c>
      <c r="Y188" s="295">
        <f t="shared" ref="Y188:Y191" si="119">+S188/F188</f>
        <v>0.46500000000000002</v>
      </c>
      <c r="Z188" s="295">
        <f>+X188*E188</f>
        <v>6.9999999999999993E-2</v>
      </c>
      <c r="AA188" s="295">
        <f>+Y188*E188</f>
        <v>9.3000000000000013E-2</v>
      </c>
      <c r="AB188" s="296" t="s">
        <v>1775</v>
      </c>
      <c r="AC188" s="652" t="s">
        <v>1838</v>
      </c>
      <c r="AD188" s="272"/>
      <c r="AE188" s="655" t="s">
        <v>1866</v>
      </c>
      <c r="AF188" s="667" t="s">
        <v>1897</v>
      </c>
    </row>
    <row r="189" spans="1:32" ht="122.4" customHeight="1" thickBot="1" x14ac:dyDescent="0.45">
      <c r="A189" s="276"/>
      <c r="B189" s="896" t="s">
        <v>654</v>
      </c>
      <c r="C189" s="907" t="s">
        <v>655</v>
      </c>
      <c r="D189" s="639" t="s">
        <v>620</v>
      </c>
      <c r="E189" s="286">
        <v>0.35</v>
      </c>
      <c r="F189" s="287">
        <v>60000</v>
      </c>
      <c r="G189" s="307">
        <v>15000</v>
      </c>
      <c r="H189" s="308">
        <v>15000</v>
      </c>
      <c r="I189" s="297">
        <f>+G189/F189</f>
        <v>0.25</v>
      </c>
      <c r="J189" s="356">
        <f t="shared" si="115"/>
        <v>0.25</v>
      </c>
      <c r="K189" s="357">
        <f>+(G189/F189)*E189</f>
        <v>8.7499999999999994E-2</v>
      </c>
      <c r="L189" s="358">
        <f t="shared" si="113"/>
        <v>8.7499999999999994E-2</v>
      </c>
      <c r="M189" s="308">
        <v>20000</v>
      </c>
      <c r="N189" s="533">
        <v>14328</v>
      </c>
      <c r="O189" s="308">
        <f>51827-N189+1650</f>
        <v>39149</v>
      </c>
      <c r="P189" s="308">
        <v>7057</v>
      </c>
      <c r="Q189" s="308"/>
      <c r="R189" s="308">
        <f t="shared" si="109"/>
        <v>60534</v>
      </c>
      <c r="S189" s="308">
        <f t="shared" si="110"/>
        <v>80534</v>
      </c>
      <c r="T189" s="347">
        <v>1</v>
      </c>
      <c r="U189" s="295">
        <v>1</v>
      </c>
      <c r="V189" s="295">
        <f>+T189*E189</f>
        <v>0.35</v>
      </c>
      <c r="W189" s="295">
        <f t="shared" si="118"/>
        <v>0.35</v>
      </c>
      <c r="X189" s="295">
        <f>+M189/F189</f>
        <v>0.33333333333333331</v>
      </c>
      <c r="Y189" s="295">
        <v>1</v>
      </c>
      <c r="Z189" s="295">
        <f>+X189*E189</f>
        <v>0.11666666666666665</v>
      </c>
      <c r="AA189" s="295">
        <f>+Y189*E189</f>
        <v>0.35</v>
      </c>
      <c r="AB189" s="296" t="s">
        <v>1775</v>
      </c>
      <c r="AC189" s="667" t="s">
        <v>1799</v>
      </c>
      <c r="AD189" s="272"/>
      <c r="AE189" s="655" t="s">
        <v>1520</v>
      </c>
      <c r="AF189" s="667" t="s">
        <v>1897</v>
      </c>
    </row>
    <row r="190" spans="1:32" ht="122.4" customHeight="1" thickBot="1" x14ac:dyDescent="0.45">
      <c r="A190" s="276"/>
      <c r="B190" s="897" t="s">
        <v>656</v>
      </c>
      <c r="C190" s="898" t="s">
        <v>657</v>
      </c>
      <c r="D190" s="639" t="s">
        <v>620</v>
      </c>
      <c r="E190" s="286">
        <v>0.2</v>
      </c>
      <c r="F190" s="287">
        <v>96</v>
      </c>
      <c r="G190" s="307">
        <v>16</v>
      </c>
      <c r="H190" s="308">
        <v>25</v>
      </c>
      <c r="I190" s="359">
        <f>+G190/F190</f>
        <v>0.16666666666666666</v>
      </c>
      <c r="J190" s="360">
        <f t="shared" si="115"/>
        <v>0.26041666666666669</v>
      </c>
      <c r="K190" s="360">
        <f>+(G190/F190)*E190</f>
        <v>3.3333333333333333E-2</v>
      </c>
      <c r="L190" s="360">
        <f t="shared" si="113"/>
        <v>5.2083333333333343E-2</v>
      </c>
      <c r="M190" s="308">
        <v>35</v>
      </c>
      <c r="N190" s="533">
        <v>1</v>
      </c>
      <c r="O190" s="308">
        <v>3</v>
      </c>
      <c r="P190" s="308">
        <v>0</v>
      </c>
      <c r="Q190" s="308"/>
      <c r="R190" s="308">
        <f t="shared" si="109"/>
        <v>4</v>
      </c>
      <c r="S190" s="308">
        <f t="shared" si="110"/>
        <v>39</v>
      </c>
      <c r="T190" s="347">
        <v>1</v>
      </c>
      <c r="U190" s="295">
        <f t="shared" si="111"/>
        <v>0.16</v>
      </c>
      <c r="V190" s="295">
        <f>+T190*E190</f>
        <v>0.2</v>
      </c>
      <c r="W190" s="295">
        <f t="shared" si="118"/>
        <v>3.2000000000000001E-2</v>
      </c>
      <c r="X190" s="295">
        <f>+M190/F190</f>
        <v>0.36458333333333331</v>
      </c>
      <c r="Y190" s="295">
        <f t="shared" si="119"/>
        <v>0.40625</v>
      </c>
      <c r="Z190" s="295">
        <f>+X190*E190</f>
        <v>7.2916666666666671E-2</v>
      </c>
      <c r="AA190" s="295">
        <f>+Y190*E190</f>
        <v>8.1250000000000003E-2</v>
      </c>
      <c r="AB190" s="296" t="s">
        <v>1775</v>
      </c>
      <c r="AC190" s="652" t="s">
        <v>1838</v>
      </c>
      <c r="AD190" s="272"/>
      <c r="AE190" s="655" t="s">
        <v>1520</v>
      </c>
      <c r="AF190" s="667" t="s">
        <v>1897</v>
      </c>
    </row>
    <row r="191" spans="1:32" ht="122.4" customHeight="1" thickBot="1" x14ac:dyDescent="0.45">
      <c r="A191" s="276"/>
      <c r="B191" s="896" t="s">
        <v>658</v>
      </c>
      <c r="C191" s="907" t="s">
        <v>659</v>
      </c>
      <c r="D191" s="639" t="s">
        <v>620</v>
      </c>
      <c r="E191" s="286">
        <v>0.25</v>
      </c>
      <c r="F191" s="287">
        <v>65000</v>
      </c>
      <c r="G191" s="307">
        <v>10000</v>
      </c>
      <c r="H191" s="308">
        <v>17000</v>
      </c>
      <c r="I191" s="359">
        <f>+G191/F191</f>
        <v>0.15384615384615385</v>
      </c>
      <c r="J191" s="360">
        <f t="shared" si="115"/>
        <v>0.26153846153846155</v>
      </c>
      <c r="K191" s="360">
        <f>+(G191/F191)*E191</f>
        <v>3.8461538461538464E-2</v>
      </c>
      <c r="L191" s="360">
        <f t="shared" si="113"/>
        <v>6.5384615384615388E-2</v>
      </c>
      <c r="M191" s="350">
        <v>32637</v>
      </c>
      <c r="N191" s="533">
        <v>493</v>
      </c>
      <c r="O191" s="350">
        <f>17493-N191</f>
        <v>17000</v>
      </c>
      <c r="P191" s="350">
        <v>0</v>
      </c>
      <c r="Q191" s="350"/>
      <c r="R191" s="350">
        <f>+N191+O191+P191+Q191</f>
        <v>17493</v>
      </c>
      <c r="S191" s="350">
        <f t="shared" si="110"/>
        <v>50130</v>
      </c>
      <c r="T191" s="347">
        <v>1</v>
      </c>
      <c r="U191" s="295">
        <v>1</v>
      </c>
      <c r="V191" s="295">
        <f>+T191*E191</f>
        <v>0.25</v>
      </c>
      <c r="W191" s="295">
        <f t="shared" si="118"/>
        <v>0.25</v>
      </c>
      <c r="X191" s="295">
        <f>+M191/F191</f>
        <v>0.50210769230769225</v>
      </c>
      <c r="Y191" s="295">
        <f t="shared" si="119"/>
        <v>0.77123076923076928</v>
      </c>
      <c r="Z191" s="295">
        <f>+X191*E191</f>
        <v>0.12552692307692306</v>
      </c>
      <c r="AA191" s="295">
        <f>+Y191*E191</f>
        <v>0.19280769230769232</v>
      </c>
      <c r="AB191" s="296" t="s">
        <v>1775</v>
      </c>
      <c r="AC191" s="652" t="s">
        <v>1838</v>
      </c>
      <c r="AD191" s="272"/>
      <c r="AE191" s="655" t="s">
        <v>1520</v>
      </c>
      <c r="AF191" s="667" t="s">
        <v>1897</v>
      </c>
    </row>
    <row r="192" spans="1:32" ht="122.4" customHeight="1" thickBot="1" x14ac:dyDescent="0.45">
      <c r="A192" s="276"/>
      <c r="B192" s="960" t="s">
        <v>1608</v>
      </c>
      <c r="C192" s="956"/>
      <c r="D192" s="647"/>
      <c r="E192" s="323">
        <v>0.15</v>
      </c>
      <c r="F192" s="324">
        <f>+E192*V192</f>
        <v>0.10303125</v>
      </c>
      <c r="G192" s="307"/>
      <c r="H192" s="278">
        <f>+E192*W192</f>
        <v>0.11527116464891042</v>
      </c>
      <c r="I192" s="361">
        <f>+(I193+I198+I203)/3</f>
        <v>0.23789691874878258</v>
      </c>
      <c r="J192" s="362">
        <f>+(J193+J198+J203)/3</f>
        <v>0.31958568748605082</v>
      </c>
      <c r="K192" s="279">
        <f>+(K193+K198+K203)/3</f>
        <v>0.18171330652877268</v>
      </c>
      <c r="L192" s="279">
        <f>+(L193+L198+L203)/3</f>
        <v>0.28480466761010298</v>
      </c>
      <c r="M192" s="521"/>
      <c r="N192" s="363"/>
      <c r="O192" s="363"/>
      <c r="P192" s="363"/>
      <c r="Q192" s="363"/>
      <c r="R192" s="363"/>
      <c r="S192" s="363"/>
      <c r="T192" s="341">
        <f>+(T193+T198+T203)/3</f>
        <v>0.94739583333333333</v>
      </c>
      <c r="U192" s="280">
        <f>+(U193+U198+U203)/3</f>
        <v>0.85998305757331173</v>
      </c>
      <c r="V192" s="279">
        <f>V193+V198+V203</f>
        <v>0.68687500000000001</v>
      </c>
      <c r="W192" s="279">
        <f>W193+W198+W203</f>
        <v>0.76847443099273616</v>
      </c>
      <c r="X192" s="280">
        <f>(X193+X198+X203)/3</f>
        <v>0.33997892066194169</v>
      </c>
      <c r="Y192" s="280">
        <f>(Y193+Y198+Y203)/3</f>
        <v>0.57490943495261637</v>
      </c>
      <c r="Z192" s="279">
        <f>(Z193+Z198+Z203)</f>
        <v>0.24110540532107533</v>
      </c>
      <c r="AA192" s="279">
        <f>(AA193*E193)+(AA198*E198)+(AA203*E203)</f>
        <v>0.52068025504355375</v>
      </c>
      <c r="AB192" s="281"/>
      <c r="AC192" s="271"/>
      <c r="AD192" s="272"/>
      <c r="AE192" s="272"/>
      <c r="AF192" s="272"/>
    </row>
    <row r="193" spans="1:32" ht="122.4" customHeight="1" thickBot="1" x14ac:dyDescent="0.45">
      <c r="A193" s="276"/>
      <c r="B193" s="955" t="s">
        <v>1609</v>
      </c>
      <c r="C193" s="957"/>
      <c r="D193" s="630"/>
      <c r="E193" s="282">
        <v>0.5</v>
      </c>
      <c r="F193" s="287"/>
      <c r="G193" s="307"/>
      <c r="H193" s="308"/>
      <c r="I193" s="364">
        <f>+AVERAGE(I194:I197)</f>
        <v>0.23879427591508487</v>
      </c>
      <c r="J193" s="284">
        <f>+AVERAGE(J194:J197)</f>
        <v>0.33623578341513416</v>
      </c>
      <c r="K193" s="284">
        <f>+K194+K195+K196+K197</f>
        <v>0.11410989888238424</v>
      </c>
      <c r="L193" s="284">
        <f>+L194+L195+L196+L197</f>
        <v>0.33924147004908045</v>
      </c>
      <c r="M193" s="350"/>
      <c r="N193" s="365"/>
      <c r="O193" s="365"/>
      <c r="P193" s="365"/>
      <c r="Q193" s="365"/>
      <c r="R193" s="365"/>
      <c r="S193" s="365"/>
      <c r="T193" s="528">
        <f>+AVERAGE(T194:T197)</f>
        <v>1</v>
      </c>
      <c r="U193" s="329">
        <f>+AVERAGE(U194:U197)</f>
        <v>0.85769523809523796</v>
      </c>
      <c r="V193" s="329">
        <f>+(V194+V195+V196+V197)*E193</f>
        <v>0.25</v>
      </c>
      <c r="W193" s="329">
        <f>+(W194+W195+W196+W197)*E193</f>
        <v>0.38727285714285714</v>
      </c>
      <c r="X193" s="284">
        <f>+AVERAGE(X194:X197)</f>
        <v>0.33240983608865465</v>
      </c>
      <c r="Y193" s="284">
        <f>+AVERAGE(Y194:Y197)</f>
        <v>0.48263833979573734</v>
      </c>
      <c r="Z193" s="284">
        <f>+(Z194+Z195+Z196+Z197)*E193</f>
        <v>8.0094974636120198E-2</v>
      </c>
      <c r="AA193" s="284">
        <f>+(AA194+AA195+AA196+AA197)</f>
        <v>0.48517019564611369</v>
      </c>
      <c r="AB193" s="285"/>
      <c r="AC193" s="271"/>
      <c r="AD193" s="272"/>
      <c r="AE193" s="272"/>
      <c r="AF193" s="272"/>
    </row>
    <row r="194" spans="1:32" ht="122.4" customHeight="1" thickBot="1" x14ac:dyDescent="0.45">
      <c r="A194" s="276"/>
      <c r="B194" s="896" t="s">
        <v>660</v>
      </c>
      <c r="C194" s="894" t="s">
        <v>661</v>
      </c>
      <c r="D194" s="331" t="s">
        <v>662</v>
      </c>
      <c r="E194" s="286">
        <v>0.15</v>
      </c>
      <c r="F194" s="287">
        <v>2800</v>
      </c>
      <c r="G194" s="307">
        <v>700</v>
      </c>
      <c r="H194" s="308">
        <v>700</v>
      </c>
      <c r="I194" s="359">
        <f>+G194/F194</f>
        <v>0.25</v>
      </c>
      <c r="J194" s="360">
        <f t="shared" ref="J194:J196" si="120">+H194/F194</f>
        <v>0.25</v>
      </c>
      <c r="K194" s="360">
        <f>+(G194/F194)*E194</f>
        <v>3.7499999999999999E-2</v>
      </c>
      <c r="L194" s="360">
        <f t="shared" ref="L194:L196" si="121">+(H194/F194)*E194</f>
        <v>3.7499999999999999E-2</v>
      </c>
      <c r="M194" s="366">
        <v>1265</v>
      </c>
      <c r="N194" s="536">
        <v>261</v>
      </c>
      <c r="O194" s="536">
        <v>0</v>
      </c>
      <c r="P194" s="536">
        <v>300</v>
      </c>
      <c r="Q194" s="366"/>
      <c r="R194" s="366">
        <f t="shared" ref="R194:R197" si="122">+N194+O194+P194+Q194</f>
        <v>561</v>
      </c>
      <c r="S194" s="366">
        <f t="shared" ref="S194:S197" si="123">+R194+M194</f>
        <v>1826</v>
      </c>
      <c r="T194" s="347">
        <v>1</v>
      </c>
      <c r="U194" s="295">
        <f t="shared" ref="U194:U196" si="124">+R194/H194</f>
        <v>0.80142857142857138</v>
      </c>
      <c r="V194" s="295">
        <f>+T194*E194</f>
        <v>0.15</v>
      </c>
      <c r="W194" s="295">
        <f t="shared" ref="W194:W196" si="125">+U194*E194</f>
        <v>0.1202142857142857</v>
      </c>
      <c r="X194" s="295">
        <f>+M194/F194</f>
        <v>0.45178571428571429</v>
      </c>
      <c r="Y194" s="295">
        <f t="shared" ref="Y194:Y197" si="126">+S194/F194</f>
        <v>0.65214285714285714</v>
      </c>
      <c r="Z194" s="295">
        <f>+X194*E194</f>
        <v>6.7767857142857144E-2</v>
      </c>
      <c r="AA194" s="295">
        <f>+Y194*E194</f>
        <v>9.7821428571428573E-2</v>
      </c>
      <c r="AB194" s="296" t="s">
        <v>1775</v>
      </c>
      <c r="AC194" s="594" t="s">
        <v>1799</v>
      </c>
      <c r="AD194" s="594" t="s">
        <v>1860</v>
      </c>
      <c r="AE194" s="594" t="s">
        <v>1866</v>
      </c>
      <c r="AF194" s="618" t="s">
        <v>1897</v>
      </c>
    </row>
    <row r="195" spans="1:32" ht="152.4" customHeight="1" thickBot="1" x14ac:dyDescent="0.45">
      <c r="A195" s="276"/>
      <c r="B195" s="896" t="s">
        <v>663</v>
      </c>
      <c r="C195" s="894" t="s">
        <v>664</v>
      </c>
      <c r="D195" s="331" t="s">
        <v>662</v>
      </c>
      <c r="E195" s="286">
        <v>0.2</v>
      </c>
      <c r="F195" s="287">
        <v>33822</v>
      </c>
      <c r="G195" s="307">
        <v>4500</v>
      </c>
      <c r="H195" s="308">
        <v>8750</v>
      </c>
      <c r="I195" s="359">
        <f>+G195/F195</f>
        <v>0.13304949441192124</v>
      </c>
      <c r="J195" s="360">
        <f t="shared" si="120"/>
        <v>0.25870735024540242</v>
      </c>
      <c r="K195" s="360">
        <f>+(G195/F195)*E195</f>
        <v>2.6609898882384249E-2</v>
      </c>
      <c r="L195" s="360">
        <f t="shared" si="121"/>
        <v>5.1741470049080487E-2</v>
      </c>
      <c r="M195" s="366">
        <v>7174</v>
      </c>
      <c r="N195" s="536">
        <v>599</v>
      </c>
      <c r="O195" s="536">
        <v>2886</v>
      </c>
      <c r="P195" s="536">
        <v>3267</v>
      </c>
      <c r="Q195" s="366"/>
      <c r="R195" s="366">
        <f t="shared" si="122"/>
        <v>6752</v>
      </c>
      <c r="S195" s="366">
        <f t="shared" si="123"/>
        <v>13926</v>
      </c>
      <c r="T195" s="347">
        <v>1</v>
      </c>
      <c r="U195" s="295">
        <f t="shared" si="124"/>
        <v>0.77165714285714282</v>
      </c>
      <c r="V195" s="295">
        <f>+T195*E195</f>
        <v>0.2</v>
      </c>
      <c r="W195" s="295">
        <f t="shared" si="125"/>
        <v>0.15433142857142856</v>
      </c>
      <c r="X195" s="295">
        <f>+M195/F195</f>
        <v>0.21211046064691622</v>
      </c>
      <c r="Y195" s="295">
        <f t="shared" si="126"/>
        <v>0.41174383537342557</v>
      </c>
      <c r="Z195" s="295">
        <f>+X195*E195</f>
        <v>4.2422092129383249E-2</v>
      </c>
      <c r="AA195" s="295">
        <f t="shared" ref="AA195:AA197" si="127">+Y195*E195</f>
        <v>8.2348767074685122E-2</v>
      </c>
      <c r="AB195" s="296" t="s">
        <v>1775</v>
      </c>
      <c r="AC195" s="594" t="s">
        <v>1799</v>
      </c>
      <c r="AD195" s="594" t="s">
        <v>1860</v>
      </c>
      <c r="AE195" s="594" t="s">
        <v>1866</v>
      </c>
      <c r="AF195" s="618" t="s">
        <v>1897</v>
      </c>
    </row>
    <row r="196" spans="1:32" ht="122.4" customHeight="1" thickBot="1" x14ac:dyDescent="0.45">
      <c r="A196" s="276"/>
      <c r="B196" s="896" t="s">
        <v>665</v>
      </c>
      <c r="C196" s="894" t="s">
        <v>666</v>
      </c>
      <c r="D196" s="331" t="s">
        <v>662</v>
      </c>
      <c r="E196" s="286">
        <v>0.5</v>
      </c>
      <c r="F196" s="287">
        <v>2</v>
      </c>
      <c r="G196" s="307">
        <v>0</v>
      </c>
      <c r="H196" s="308">
        <v>1</v>
      </c>
      <c r="I196" s="359"/>
      <c r="J196" s="360">
        <f t="shared" si="120"/>
        <v>0.5</v>
      </c>
      <c r="K196" s="360"/>
      <c r="L196" s="360">
        <f t="shared" si="121"/>
        <v>0.25</v>
      </c>
      <c r="M196" s="350"/>
      <c r="N196" s="533">
        <v>0</v>
      </c>
      <c r="O196" s="533">
        <v>1</v>
      </c>
      <c r="P196" s="533">
        <v>0</v>
      </c>
      <c r="Q196" s="350"/>
      <c r="R196" s="350">
        <f t="shared" si="122"/>
        <v>1</v>
      </c>
      <c r="S196" s="350">
        <f t="shared" si="123"/>
        <v>1</v>
      </c>
      <c r="T196" s="347"/>
      <c r="U196" s="295">
        <f t="shared" si="124"/>
        <v>1</v>
      </c>
      <c r="V196" s="295"/>
      <c r="W196" s="295">
        <f t="shared" si="125"/>
        <v>0.5</v>
      </c>
      <c r="X196" s="295"/>
      <c r="Y196" s="295">
        <f t="shared" si="126"/>
        <v>0.5</v>
      </c>
      <c r="Z196" s="295">
        <v>0</v>
      </c>
      <c r="AA196" s="295">
        <f t="shared" si="127"/>
        <v>0.25</v>
      </c>
      <c r="AB196" s="296" t="s">
        <v>1775</v>
      </c>
      <c r="AC196" s="604" t="s">
        <v>1810</v>
      </c>
      <c r="AD196" s="594" t="s">
        <v>1860</v>
      </c>
      <c r="AE196" s="594" t="s">
        <v>1866</v>
      </c>
      <c r="AF196" s="618" t="s">
        <v>1897</v>
      </c>
    </row>
    <row r="197" spans="1:32" ht="122.4" customHeight="1" thickBot="1" x14ac:dyDescent="0.45">
      <c r="A197" s="276"/>
      <c r="B197" s="896" t="s">
        <v>667</v>
      </c>
      <c r="C197" s="894" t="s">
        <v>668</v>
      </c>
      <c r="D197" s="331" t="s">
        <v>662</v>
      </c>
      <c r="E197" s="286">
        <v>0.15</v>
      </c>
      <c r="F197" s="287">
        <v>3</v>
      </c>
      <c r="G197" s="307">
        <v>1</v>
      </c>
      <c r="H197" s="308">
        <v>0</v>
      </c>
      <c r="I197" s="359">
        <f>+G197/F197</f>
        <v>0.33333333333333331</v>
      </c>
      <c r="J197" s="360"/>
      <c r="K197" s="360">
        <f>+(G197/F197)*E197</f>
        <v>4.9999999999999996E-2</v>
      </c>
      <c r="L197" s="360"/>
      <c r="M197" s="350">
        <v>1</v>
      </c>
      <c r="N197" s="533">
        <v>0.1</v>
      </c>
      <c r="O197" s="533">
        <v>0</v>
      </c>
      <c r="P197" s="533">
        <v>0</v>
      </c>
      <c r="Q197" s="350"/>
      <c r="R197" s="350">
        <f t="shared" si="122"/>
        <v>0.1</v>
      </c>
      <c r="S197" s="350">
        <f t="shared" si="123"/>
        <v>1.1000000000000001</v>
      </c>
      <c r="T197" s="347">
        <f>+(M197/G197)</f>
        <v>1</v>
      </c>
      <c r="U197" s="295"/>
      <c r="V197" s="295">
        <f>+T197*E197</f>
        <v>0.15</v>
      </c>
      <c r="W197" s="295"/>
      <c r="X197" s="295">
        <f>+M197/F197</f>
        <v>0.33333333333333331</v>
      </c>
      <c r="Y197" s="295">
        <f t="shared" si="126"/>
        <v>0.3666666666666667</v>
      </c>
      <c r="Z197" s="295">
        <f>+X197*E197</f>
        <v>4.9999999999999996E-2</v>
      </c>
      <c r="AA197" s="295">
        <f t="shared" si="127"/>
        <v>5.5E-2</v>
      </c>
      <c r="AB197" s="296" t="s">
        <v>1775</v>
      </c>
      <c r="AC197" s="594" t="s">
        <v>1799</v>
      </c>
      <c r="AD197" s="594" t="s">
        <v>1860</v>
      </c>
      <c r="AE197" s="594" t="s">
        <v>1866</v>
      </c>
      <c r="AF197" s="618" t="s">
        <v>1897</v>
      </c>
    </row>
    <row r="198" spans="1:32" ht="122.4" customHeight="1" thickBot="1" x14ac:dyDescent="0.45">
      <c r="A198" s="276"/>
      <c r="B198" s="955" t="s">
        <v>1610</v>
      </c>
      <c r="C198" s="957"/>
      <c r="D198" s="331"/>
      <c r="E198" s="282">
        <v>0.25</v>
      </c>
      <c r="F198" s="287"/>
      <c r="G198" s="307"/>
      <c r="H198" s="308"/>
      <c r="I198" s="364">
        <f>+AVERAGE(I199:I202)</f>
        <v>0.31944444444444442</v>
      </c>
      <c r="J198" s="284">
        <f>+AVERAGE(J199:J202)</f>
        <v>0.34074074074074073</v>
      </c>
      <c r="K198" s="374">
        <f>+K199+K200+K201+K202</f>
        <v>0.27361111111111114</v>
      </c>
      <c r="L198" s="374">
        <f>+L199+L200+L201+L202</f>
        <v>0.2338888888888889</v>
      </c>
      <c r="M198" s="308"/>
      <c r="N198" s="344"/>
      <c r="O198" s="344"/>
      <c r="P198" s="344"/>
      <c r="Q198" s="344"/>
      <c r="R198" s="344"/>
      <c r="S198" s="344"/>
      <c r="T198" s="528">
        <f>+AVERAGE(T199:T202)</f>
        <v>0.84218749999999998</v>
      </c>
      <c r="U198" s="329">
        <f>+AVERAGE(U199:U202)</f>
        <v>0.73499404761904763</v>
      </c>
      <c r="V198" s="329">
        <f>+(V199+V200+V201+V202)*E198</f>
        <v>0.18687500000000004</v>
      </c>
      <c r="W198" s="329">
        <f>+(W199+W200+W201+W202)*E198</f>
        <v>0.13629761904761906</v>
      </c>
      <c r="X198" s="284">
        <f>+AVERAGE(X199:X202)</f>
        <v>0.25733506944444445</v>
      </c>
      <c r="Y198" s="284">
        <f>+AVERAGE(Y199:Y202)</f>
        <v>0.50826215277777775</v>
      </c>
      <c r="Z198" s="284">
        <f>+(Z199+Z200+Z201+Z202)*E198</f>
        <v>5.0629340277777775E-2</v>
      </c>
      <c r="AA198" s="284">
        <f>+(AA199+AA200+AA201+AA202)</f>
        <v>0.38512569444444444</v>
      </c>
      <c r="AB198" s="285"/>
      <c r="AC198" s="271"/>
      <c r="AD198" s="272"/>
      <c r="AE198" s="272"/>
      <c r="AF198" s="272"/>
    </row>
    <row r="199" spans="1:32" ht="122.4" customHeight="1" thickBot="1" x14ac:dyDescent="0.45">
      <c r="A199" s="276"/>
      <c r="B199" s="896" t="s">
        <v>669</v>
      </c>
      <c r="C199" s="894" t="s">
        <v>670</v>
      </c>
      <c r="D199" s="331" t="s">
        <v>662</v>
      </c>
      <c r="E199" s="286">
        <v>0.4</v>
      </c>
      <c r="F199" s="287">
        <v>36000</v>
      </c>
      <c r="G199" s="367">
        <v>10000</v>
      </c>
      <c r="H199" s="350">
        <v>9800</v>
      </c>
      <c r="I199" s="297">
        <f>+G199/F199</f>
        <v>0.27777777777777779</v>
      </c>
      <c r="J199" s="368">
        <f t="shared" ref="J199:J201" si="128">+H199/F199</f>
        <v>0.2722222222222222</v>
      </c>
      <c r="K199" s="530">
        <f>+(G199/F199)*E199</f>
        <v>0.11111111111111112</v>
      </c>
      <c r="L199" s="360">
        <f t="shared" ref="L199:L201" si="129">+(H199/F199)*E199</f>
        <v>0.10888888888888888</v>
      </c>
      <c r="M199" s="350">
        <v>10810</v>
      </c>
      <c r="N199" s="533">
        <v>1263</v>
      </c>
      <c r="O199" s="533">
        <v>3098</v>
      </c>
      <c r="P199" s="533">
        <v>3892</v>
      </c>
      <c r="Q199" s="350"/>
      <c r="R199" s="350">
        <f t="shared" ref="R199:R202" si="130">+N199+O199+P199+Q199</f>
        <v>8253</v>
      </c>
      <c r="S199" s="350">
        <f t="shared" ref="S199:S202" si="131">+R199+M199</f>
        <v>19063</v>
      </c>
      <c r="T199" s="347">
        <v>1</v>
      </c>
      <c r="U199" s="295">
        <f t="shared" ref="U199:U201" si="132">+R199/H199</f>
        <v>0.84214285714285719</v>
      </c>
      <c r="V199" s="295">
        <f>+T199*E199</f>
        <v>0.4</v>
      </c>
      <c r="W199" s="295">
        <f t="shared" ref="W199:W201" si="133">+U199*E199</f>
        <v>0.33685714285714291</v>
      </c>
      <c r="X199" s="295">
        <f>+M199/F199</f>
        <v>0.30027777777777775</v>
      </c>
      <c r="Y199" s="295">
        <f t="shared" ref="Y199:Y202" si="134">+S199/F199</f>
        <v>0.52952777777777782</v>
      </c>
      <c r="Z199" s="295">
        <f>+X199*E199</f>
        <v>0.12011111111111111</v>
      </c>
      <c r="AA199" s="295">
        <f>+Y199*E199</f>
        <v>0.21181111111111114</v>
      </c>
      <c r="AB199" s="296" t="s">
        <v>1775</v>
      </c>
      <c r="AC199" s="594" t="s">
        <v>1799</v>
      </c>
      <c r="AD199" s="594" t="s">
        <v>1860</v>
      </c>
      <c r="AE199" s="594" t="s">
        <v>1866</v>
      </c>
      <c r="AF199" s="618" t="s">
        <v>1897</v>
      </c>
    </row>
    <row r="200" spans="1:32" ht="122.4" customHeight="1" thickBot="1" x14ac:dyDescent="0.45">
      <c r="A200" s="276"/>
      <c r="B200" s="896" t="s">
        <v>671</v>
      </c>
      <c r="C200" s="894" t="s">
        <v>672</v>
      </c>
      <c r="D200" s="331" t="s">
        <v>662</v>
      </c>
      <c r="E200" s="286">
        <v>0.4</v>
      </c>
      <c r="F200" s="287">
        <f>480*4</f>
        <v>1920</v>
      </c>
      <c r="G200" s="367">
        <v>480</v>
      </c>
      <c r="H200" s="350">
        <v>480</v>
      </c>
      <c r="I200" s="297">
        <f>+G200/F200</f>
        <v>0.25</v>
      </c>
      <c r="J200" s="297">
        <f t="shared" si="128"/>
        <v>0.25</v>
      </c>
      <c r="K200" s="348">
        <f>+(G200/F200)*E200</f>
        <v>0.1</v>
      </c>
      <c r="L200" s="360">
        <f t="shared" si="129"/>
        <v>0.1</v>
      </c>
      <c r="M200" s="350">
        <v>177</v>
      </c>
      <c r="N200" s="533">
        <v>16</v>
      </c>
      <c r="O200" s="533">
        <v>64</v>
      </c>
      <c r="P200" s="533">
        <v>110</v>
      </c>
      <c r="Q200" s="350"/>
      <c r="R200" s="350">
        <f t="shared" si="130"/>
        <v>190</v>
      </c>
      <c r="S200" s="350">
        <f t="shared" si="131"/>
        <v>367</v>
      </c>
      <c r="T200" s="347">
        <f>+(M200/G200)</f>
        <v>0.36875000000000002</v>
      </c>
      <c r="U200" s="295">
        <f>+R200/H200</f>
        <v>0.39583333333333331</v>
      </c>
      <c r="V200" s="295">
        <f>+T200*E200</f>
        <v>0.14750000000000002</v>
      </c>
      <c r="W200" s="295">
        <f t="shared" si="133"/>
        <v>0.15833333333333333</v>
      </c>
      <c r="X200" s="295">
        <f>+M200/F200</f>
        <v>9.2187500000000006E-2</v>
      </c>
      <c r="Y200" s="295">
        <f t="shared" si="134"/>
        <v>0.19114583333333332</v>
      </c>
      <c r="Z200" s="295">
        <f>+X200*E200</f>
        <v>3.6875000000000005E-2</v>
      </c>
      <c r="AA200" s="295">
        <f>+Y200*E200</f>
        <v>7.6458333333333336E-2</v>
      </c>
      <c r="AB200" s="296" t="s">
        <v>1775</v>
      </c>
      <c r="AC200" s="594" t="s">
        <v>1799</v>
      </c>
      <c r="AD200" s="594" t="s">
        <v>1860</v>
      </c>
      <c r="AE200" s="594" t="s">
        <v>1866</v>
      </c>
      <c r="AF200" s="618" t="s">
        <v>1897</v>
      </c>
    </row>
    <row r="201" spans="1:32" ht="122.4" customHeight="1" thickBot="1" x14ac:dyDescent="0.45">
      <c r="A201" s="276"/>
      <c r="B201" s="896" t="s">
        <v>673</v>
      </c>
      <c r="C201" s="894" t="s">
        <v>674</v>
      </c>
      <c r="D201" s="331" t="s">
        <v>662</v>
      </c>
      <c r="E201" s="286">
        <v>0.05</v>
      </c>
      <c r="F201" s="287">
        <v>1</v>
      </c>
      <c r="G201" s="367">
        <v>0.5</v>
      </c>
      <c r="H201" s="350">
        <v>0.5</v>
      </c>
      <c r="I201" s="297">
        <f>+G201/F201</f>
        <v>0.5</v>
      </c>
      <c r="J201" s="297">
        <f t="shared" si="128"/>
        <v>0.5</v>
      </c>
      <c r="K201" s="348">
        <f>+(G201/F201)*E201</f>
        <v>2.5000000000000001E-2</v>
      </c>
      <c r="L201" s="360">
        <f t="shared" si="129"/>
        <v>2.5000000000000001E-2</v>
      </c>
      <c r="M201" s="350">
        <v>0.5</v>
      </c>
      <c r="N201" s="533">
        <v>0</v>
      </c>
      <c r="O201" s="533">
        <v>0</v>
      </c>
      <c r="P201" s="533">
        <v>0.5</v>
      </c>
      <c r="Q201" s="350"/>
      <c r="R201" s="350">
        <f t="shared" si="130"/>
        <v>0.5</v>
      </c>
      <c r="S201" s="350">
        <f t="shared" si="131"/>
        <v>1</v>
      </c>
      <c r="T201" s="347">
        <f>+(M201/G201)</f>
        <v>1</v>
      </c>
      <c r="U201" s="295">
        <f t="shared" si="132"/>
        <v>1</v>
      </c>
      <c r="V201" s="295">
        <f>+T201*E201</f>
        <v>0.05</v>
      </c>
      <c r="W201" s="295">
        <f t="shared" si="133"/>
        <v>0.05</v>
      </c>
      <c r="X201" s="295">
        <f>+M201/F201</f>
        <v>0.5</v>
      </c>
      <c r="Y201" s="295">
        <f t="shared" si="134"/>
        <v>1</v>
      </c>
      <c r="Z201" s="295">
        <f>+X201*E201</f>
        <v>2.5000000000000001E-2</v>
      </c>
      <c r="AA201" s="295">
        <f>+Y201*E201</f>
        <v>0.05</v>
      </c>
      <c r="AB201" s="296" t="s">
        <v>1775</v>
      </c>
      <c r="AC201" s="594" t="s">
        <v>1799</v>
      </c>
      <c r="AD201" s="594" t="s">
        <v>1860</v>
      </c>
      <c r="AE201" s="594" t="s">
        <v>1866</v>
      </c>
      <c r="AF201" s="618" t="s">
        <v>1897</v>
      </c>
    </row>
    <row r="202" spans="1:32" ht="122.4" customHeight="1" thickBot="1" x14ac:dyDescent="0.45">
      <c r="A202" s="276"/>
      <c r="B202" s="896" t="s">
        <v>675</v>
      </c>
      <c r="C202" s="894" t="s">
        <v>676</v>
      </c>
      <c r="D202" s="331" t="s">
        <v>662</v>
      </c>
      <c r="E202" s="286">
        <v>0.15</v>
      </c>
      <c r="F202" s="369">
        <v>8000</v>
      </c>
      <c r="G202" s="367">
        <v>2000</v>
      </c>
      <c r="H202" s="350">
        <v>2000</v>
      </c>
      <c r="I202" s="356">
        <f>+G202/F202</f>
        <v>0.25</v>
      </c>
      <c r="J202" s="356"/>
      <c r="K202" s="358">
        <f>+(G202/F202)*E202</f>
        <v>3.7499999999999999E-2</v>
      </c>
      <c r="L202" s="360"/>
      <c r="M202" s="350">
        <v>1095</v>
      </c>
      <c r="N202" s="533">
        <v>25</v>
      </c>
      <c r="O202" s="533">
        <v>881</v>
      </c>
      <c r="P202" s="533">
        <v>498</v>
      </c>
      <c r="Q202" s="350"/>
      <c r="R202" s="350">
        <f t="shared" si="130"/>
        <v>1404</v>
      </c>
      <c r="S202" s="350">
        <f t="shared" si="131"/>
        <v>2499</v>
      </c>
      <c r="T202" s="370">
        <v>1</v>
      </c>
      <c r="U202" s="295">
        <f>+R202/H202</f>
        <v>0.70199999999999996</v>
      </c>
      <c r="V202" s="295">
        <f>+T202*E202</f>
        <v>0.15</v>
      </c>
      <c r="W202" s="295"/>
      <c r="X202" s="295">
        <f>+M202/F202</f>
        <v>0.136875</v>
      </c>
      <c r="Y202" s="295">
        <f t="shared" si="134"/>
        <v>0.31237500000000001</v>
      </c>
      <c r="Z202" s="295">
        <f>+X202*E202</f>
        <v>2.0531249999999997E-2</v>
      </c>
      <c r="AA202" s="295">
        <f>+Y202*E202</f>
        <v>4.6856250000000002E-2</v>
      </c>
      <c r="AB202" s="296" t="s">
        <v>1775</v>
      </c>
      <c r="AC202" s="604" t="s">
        <v>1820</v>
      </c>
      <c r="AD202" s="594" t="s">
        <v>1860</v>
      </c>
      <c r="AE202" s="594" t="s">
        <v>1866</v>
      </c>
      <c r="AF202" s="618" t="s">
        <v>1897</v>
      </c>
    </row>
    <row r="203" spans="1:32" ht="122.4" customHeight="1" thickBot="1" x14ac:dyDescent="0.45">
      <c r="A203" s="276"/>
      <c r="B203" s="955" t="s">
        <v>1611</v>
      </c>
      <c r="C203" s="957"/>
      <c r="D203" s="331"/>
      <c r="E203" s="371">
        <v>0.25</v>
      </c>
      <c r="F203" s="372"/>
      <c r="G203" s="367"/>
      <c r="H203" s="350"/>
      <c r="I203" s="373">
        <f>+AVERAGE(I204:I205)</f>
        <v>0.1554520358868185</v>
      </c>
      <c r="J203" s="373">
        <f>+AVERAGE(J204:J205)</f>
        <v>0.28178053830227745</v>
      </c>
      <c r="K203" s="284">
        <f>+K204+K205</f>
        <v>0.15741890959282262</v>
      </c>
      <c r="L203" s="284">
        <f>+L204+L205</f>
        <v>0.28128364389233956</v>
      </c>
      <c r="M203" s="308"/>
      <c r="N203" s="344"/>
      <c r="O203" s="344"/>
      <c r="P203" s="344"/>
      <c r="Q203" s="344"/>
      <c r="R203" s="344"/>
      <c r="S203" s="344"/>
      <c r="T203" s="532">
        <f>+AVERAGE(T204:T206)</f>
        <v>1</v>
      </c>
      <c r="U203" s="329">
        <f>+AVERAGE(U204:U206)</f>
        <v>0.98725988700564971</v>
      </c>
      <c r="V203" s="329">
        <f>+(V204+V205)*E203</f>
        <v>0.25</v>
      </c>
      <c r="W203" s="329">
        <f>+(W204+W205)*E203</f>
        <v>0.2449039548022599</v>
      </c>
      <c r="X203" s="284">
        <f>+AVERAGE(X204:X205)</f>
        <v>0.43019185645272601</v>
      </c>
      <c r="Y203" s="284">
        <f>+AVERAGE(Y204:Y205)</f>
        <v>0.73382781228433402</v>
      </c>
      <c r="Z203" s="284">
        <f>+(Z204+Z205)*E203</f>
        <v>0.11038109040717736</v>
      </c>
      <c r="AA203" s="284">
        <f>+(AA204+AA205)</f>
        <v>0.72725493443754319</v>
      </c>
      <c r="AB203" s="285"/>
      <c r="AC203" s="271"/>
      <c r="AD203" s="272"/>
      <c r="AE203" s="272"/>
      <c r="AF203" s="272"/>
    </row>
    <row r="204" spans="1:32" ht="122.4" customHeight="1" thickBot="1" x14ac:dyDescent="0.45">
      <c r="A204" s="276"/>
      <c r="B204" s="896" t="s">
        <v>677</v>
      </c>
      <c r="C204" s="894" t="s">
        <v>678</v>
      </c>
      <c r="D204" s="331" t="s">
        <v>662</v>
      </c>
      <c r="E204" s="286">
        <v>0.8</v>
      </c>
      <c r="F204" s="372">
        <v>63000</v>
      </c>
      <c r="G204" s="367">
        <v>10000</v>
      </c>
      <c r="H204" s="350">
        <v>17700</v>
      </c>
      <c r="I204" s="375">
        <f>+G204/F204</f>
        <v>0.15873015873015872</v>
      </c>
      <c r="J204" s="375">
        <f t="shared" ref="J204:J205" si="135">+H204/F204</f>
        <v>0.28095238095238095</v>
      </c>
      <c r="K204" s="360">
        <f>+(G204/F204)*E204</f>
        <v>0.12698412698412698</v>
      </c>
      <c r="L204" s="376">
        <f t="shared" ref="L204:L205" si="136">+(H204/F204)*E204</f>
        <v>0.22476190476190477</v>
      </c>
      <c r="M204" s="350">
        <v>28292</v>
      </c>
      <c r="N204" s="533">
        <v>1495</v>
      </c>
      <c r="O204" s="533">
        <v>11116</v>
      </c>
      <c r="P204" s="533">
        <v>4638</v>
      </c>
      <c r="Q204" s="350"/>
      <c r="R204" s="350">
        <f t="shared" ref="R204:R205" si="137">+N204+O204+P204+Q204</f>
        <v>17249</v>
      </c>
      <c r="S204" s="350">
        <f t="shared" ref="S204:S205" si="138">+R204+M204</f>
        <v>45541</v>
      </c>
      <c r="T204" s="377">
        <v>1</v>
      </c>
      <c r="U204" s="295">
        <f t="shared" ref="U204" si="139">+R204/H204</f>
        <v>0.97451977401129941</v>
      </c>
      <c r="V204" s="295">
        <f>+T204*E204</f>
        <v>0.8</v>
      </c>
      <c r="W204" s="295">
        <f t="shared" ref="W204:W205" si="140">+U204*E204</f>
        <v>0.77961581920903955</v>
      </c>
      <c r="X204" s="295">
        <f>+M204/F204</f>
        <v>0.44907936507936508</v>
      </c>
      <c r="Y204" s="295">
        <f t="shared" ref="Y204:Y205" si="141">+S204/F204</f>
        <v>0.72287301587301589</v>
      </c>
      <c r="Z204" s="295">
        <f>+X204*E204</f>
        <v>0.35926349206349206</v>
      </c>
      <c r="AA204" s="295">
        <f>+Y204*E204</f>
        <v>0.57829841269841276</v>
      </c>
      <c r="AB204" s="296" t="s">
        <v>1775</v>
      </c>
      <c r="AC204" s="594" t="s">
        <v>1799</v>
      </c>
      <c r="AD204" s="594" t="s">
        <v>1860</v>
      </c>
      <c r="AE204" s="594" t="s">
        <v>1866</v>
      </c>
      <c r="AF204" s="618" t="s">
        <v>1897</v>
      </c>
    </row>
    <row r="205" spans="1:32" ht="122.4" customHeight="1" thickBot="1" x14ac:dyDescent="0.45">
      <c r="A205" s="276"/>
      <c r="B205" s="914" t="s">
        <v>679</v>
      </c>
      <c r="C205" s="915" t="s">
        <v>680</v>
      </c>
      <c r="D205" s="648" t="s">
        <v>662</v>
      </c>
      <c r="E205" s="286">
        <v>0.2</v>
      </c>
      <c r="F205" s="372">
        <v>2300</v>
      </c>
      <c r="G205" s="367">
        <v>350</v>
      </c>
      <c r="H205" s="350">
        <v>650</v>
      </c>
      <c r="I205" s="375">
        <f>+G205/F205</f>
        <v>0.15217391304347827</v>
      </c>
      <c r="J205" s="375">
        <f t="shared" si="135"/>
        <v>0.28260869565217389</v>
      </c>
      <c r="K205" s="360">
        <f>+(G205/F205)*E205</f>
        <v>3.0434782608695657E-2</v>
      </c>
      <c r="L205" s="376">
        <f t="shared" si="136"/>
        <v>5.6521739130434782E-2</v>
      </c>
      <c r="M205" s="350">
        <v>946</v>
      </c>
      <c r="N205" s="533">
        <v>149</v>
      </c>
      <c r="O205" s="533">
        <v>157</v>
      </c>
      <c r="P205" s="533">
        <v>461</v>
      </c>
      <c r="Q205" s="350"/>
      <c r="R205" s="350">
        <f t="shared" si="137"/>
        <v>767</v>
      </c>
      <c r="S205" s="350">
        <f t="shared" si="138"/>
        <v>1713</v>
      </c>
      <c r="T205" s="377">
        <v>1</v>
      </c>
      <c r="U205" s="295">
        <v>1</v>
      </c>
      <c r="V205" s="295">
        <f>+T205*E205</f>
        <v>0.2</v>
      </c>
      <c r="W205" s="295">
        <f t="shared" si="140"/>
        <v>0.2</v>
      </c>
      <c r="X205" s="295">
        <f>+M205/F205</f>
        <v>0.41130434782608694</v>
      </c>
      <c r="Y205" s="295">
        <f t="shared" si="141"/>
        <v>0.74478260869565216</v>
      </c>
      <c r="Z205" s="295">
        <f>+X205*E205</f>
        <v>8.2260869565217387E-2</v>
      </c>
      <c r="AA205" s="295">
        <f>+Y205*E205</f>
        <v>0.14895652173913043</v>
      </c>
      <c r="AB205" s="296" t="s">
        <v>1775</v>
      </c>
      <c r="AC205" s="594" t="s">
        <v>1799</v>
      </c>
      <c r="AD205" s="594" t="s">
        <v>1860</v>
      </c>
      <c r="AE205" s="594" t="s">
        <v>1866</v>
      </c>
      <c r="AF205" s="618" t="s">
        <v>1897</v>
      </c>
    </row>
    <row r="206" spans="1:32" ht="122.4" customHeight="1" thickBot="1" x14ac:dyDescent="0.45">
      <c r="A206" s="272"/>
      <c r="B206" s="275"/>
      <c r="C206" s="275"/>
      <c r="D206" s="649"/>
      <c r="E206" s="275"/>
      <c r="F206" s="378"/>
      <c r="G206" s="275"/>
      <c r="H206" s="275"/>
      <c r="I206" s="275"/>
      <c r="J206" s="275"/>
      <c r="K206" s="275"/>
      <c r="L206" s="275"/>
      <c r="M206" s="522"/>
      <c r="N206" s="275"/>
      <c r="O206" s="275"/>
      <c r="P206" s="275"/>
      <c r="Q206" s="275"/>
      <c r="R206" s="275"/>
      <c r="S206" s="275"/>
      <c r="T206" s="275"/>
      <c r="U206" s="275"/>
      <c r="V206" s="275"/>
      <c r="W206" s="275"/>
      <c r="X206" s="275"/>
      <c r="Y206" s="275"/>
      <c r="Z206" s="275"/>
      <c r="AA206" s="275"/>
      <c r="AB206" s="275"/>
      <c r="AC206" s="272"/>
      <c r="AD206" s="272"/>
      <c r="AE206" s="272"/>
      <c r="AF206" s="272"/>
    </row>
    <row r="207" spans="1:32" ht="122.4" customHeight="1" thickBot="1" x14ac:dyDescent="0.45">
      <c r="A207" s="272"/>
      <c r="B207" s="272"/>
      <c r="C207" s="272"/>
      <c r="D207" s="650"/>
      <c r="E207" s="272"/>
      <c r="F207" s="379"/>
      <c r="G207" s="272"/>
      <c r="H207" s="272"/>
      <c r="I207" s="272"/>
      <c r="J207" s="272"/>
      <c r="K207" s="272"/>
      <c r="L207" s="272"/>
      <c r="M207" s="523"/>
      <c r="N207" s="272"/>
      <c r="O207" s="272"/>
      <c r="P207" s="272"/>
      <c r="Q207" s="272"/>
      <c r="R207" s="272"/>
      <c r="S207" s="272"/>
      <c r="T207" s="272"/>
      <c r="U207" s="272"/>
      <c r="V207" s="272"/>
      <c r="W207" s="272"/>
      <c r="X207" s="272"/>
      <c r="Y207" s="272"/>
      <c r="Z207" s="272"/>
      <c r="AA207" s="272"/>
      <c r="AB207" s="272"/>
      <c r="AC207" s="272"/>
      <c r="AD207" s="272"/>
      <c r="AE207" s="272"/>
      <c r="AF207" s="272"/>
    </row>
    <row r="208" spans="1:32" ht="122.4" customHeight="1" thickBot="1" x14ac:dyDescent="0.45">
      <c r="A208" s="272"/>
      <c r="B208" s="272"/>
      <c r="C208" s="272"/>
      <c r="D208" s="650"/>
      <c r="E208" s="272"/>
      <c r="F208" s="379"/>
      <c r="G208" s="272"/>
      <c r="H208" s="272"/>
      <c r="I208" s="272"/>
      <c r="J208" s="272"/>
      <c r="K208" s="272"/>
      <c r="L208" s="272"/>
      <c r="M208" s="523"/>
      <c r="N208" s="272"/>
      <c r="O208" s="272"/>
      <c r="P208" s="272"/>
      <c r="Q208" s="272"/>
      <c r="R208" s="272"/>
      <c r="S208" s="272"/>
      <c r="T208" s="272"/>
      <c r="U208" s="272"/>
      <c r="V208" s="272"/>
      <c r="W208" s="272"/>
      <c r="X208" s="272"/>
      <c r="Y208" s="272"/>
      <c r="Z208" s="272"/>
      <c r="AA208" s="272"/>
      <c r="AB208" s="272"/>
      <c r="AC208" s="272"/>
      <c r="AD208" s="272"/>
      <c r="AE208" s="272"/>
      <c r="AF208" s="272"/>
    </row>
    <row r="209" spans="1:32" ht="122.4" customHeight="1" thickBot="1" x14ac:dyDescent="0.45">
      <c r="A209" s="272"/>
      <c r="B209" s="272"/>
      <c r="C209" s="272"/>
      <c r="D209" s="650"/>
      <c r="E209" s="272"/>
      <c r="F209" s="379"/>
      <c r="G209" s="272"/>
      <c r="H209" s="272"/>
      <c r="I209" s="272"/>
      <c r="J209" s="272"/>
      <c r="K209" s="272"/>
      <c r="L209" s="272"/>
      <c r="M209" s="523"/>
      <c r="N209" s="272"/>
      <c r="O209" s="272"/>
      <c r="P209" s="272"/>
      <c r="Q209" s="272"/>
      <c r="R209" s="272"/>
      <c r="S209" s="272"/>
      <c r="T209" s="272"/>
      <c r="U209" s="272"/>
      <c r="V209" s="272"/>
      <c r="W209" s="272"/>
      <c r="X209" s="272"/>
      <c r="Y209" s="272"/>
      <c r="Z209" s="272"/>
      <c r="AA209" s="272"/>
      <c r="AB209" s="272"/>
      <c r="AC209" s="272"/>
      <c r="AD209" s="272"/>
      <c r="AE209" s="272"/>
      <c r="AF209" s="272"/>
    </row>
    <row r="210" spans="1:32" ht="122.4" customHeight="1" thickBot="1" x14ac:dyDescent="0.45">
      <c r="A210" s="272"/>
      <c r="B210" s="272"/>
      <c r="C210" s="272"/>
      <c r="D210" s="650"/>
      <c r="E210" s="272"/>
      <c r="F210" s="379"/>
      <c r="G210" s="272"/>
      <c r="H210" s="272"/>
      <c r="I210" s="272"/>
      <c r="J210" s="272"/>
      <c r="K210" s="272"/>
      <c r="L210" s="272"/>
      <c r="M210" s="523"/>
      <c r="N210" s="272"/>
      <c r="O210" s="272"/>
      <c r="P210" s="272"/>
      <c r="Q210" s="272"/>
      <c r="R210" s="272"/>
      <c r="S210" s="272"/>
      <c r="T210" s="272"/>
      <c r="U210" s="272"/>
      <c r="V210" s="272"/>
      <c r="W210" s="272"/>
      <c r="X210" s="272"/>
      <c r="Y210" s="272"/>
      <c r="Z210" s="272"/>
      <c r="AA210" s="272"/>
      <c r="AB210" s="272"/>
      <c r="AC210" s="272"/>
      <c r="AD210" s="272"/>
      <c r="AE210" s="272"/>
      <c r="AF210" s="272"/>
    </row>
    <row r="211" spans="1:32" ht="122.4" customHeight="1" thickBot="1" x14ac:dyDescent="0.45">
      <c r="A211" s="272"/>
      <c r="B211" s="272"/>
      <c r="C211" s="272"/>
      <c r="D211" s="650"/>
      <c r="E211" s="272"/>
      <c r="F211" s="379"/>
      <c r="G211" s="272"/>
      <c r="H211" s="272"/>
      <c r="I211" s="272"/>
      <c r="J211" s="272"/>
      <c r="K211" s="272"/>
      <c r="L211" s="272"/>
      <c r="M211" s="523"/>
      <c r="N211" s="272"/>
      <c r="O211" s="272"/>
      <c r="P211" s="272"/>
      <c r="Q211" s="272"/>
      <c r="R211" s="272"/>
      <c r="S211" s="272"/>
      <c r="T211" s="272"/>
      <c r="U211" s="272"/>
      <c r="V211" s="272"/>
      <c r="W211" s="272"/>
      <c r="X211" s="272"/>
      <c r="Y211" s="272"/>
      <c r="Z211" s="272"/>
      <c r="AA211" s="272"/>
      <c r="AB211" s="272"/>
      <c r="AC211" s="272"/>
      <c r="AD211" s="272"/>
      <c r="AE211" s="272"/>
      <c r="AF211" s="272"/>
    </row>
    <row r="212" spans="1:32" ht="122.4" customHeight="1" thickBot="1" x14ac:dyDescent="0.45">
      <c r="A212" s="272"/>
      <c r="B212" s="272"/>
      <c r="C212" s="272"/>
      <c r="D212" s="650"/>
      <c r="E212" s="272"/>
      <c r="F212" s="379"/>
      <c r="G212" s="272"/>
      <c r="H212" s="272"/>
      <c r="I212" s="272"/>
      <c r="J212" s="272"/>
      <c r="K212" s="272"/>
      <c r="L212" s="272"/>
      <c r="M212" s="523"/>
      <c r="N212" s="272"/>
      <c r="O212" s="272"/>
      <c r="P212" s="272"/>
      <c r="Q212" s="272"/>
      <c r="R212" s="272"/>
      <c r="S212" s="272"/>
      <c r="T212" s="272"/>
      <c r="U212" s="272"/>
      <c r="V212" s="272"/>
      <c r="W212" s="272"/>
      <c r="X212" s="272"/>
      <c r="Y212" s="272"/>
      <c r="Z212" s="272"/>
      <c r="AA212" s="272"/>
      <c r="AB212" s="272"/>
      <c r="AC212" s="272"/>
      <c r="AD212" s="272"/>
      <c r="AE212" s="272"/>
      <c r="AF212" s="272"/>
    </row>
    <row r="213" spans="1:32" ht="122.4" customHeight="1" thickBot="1" x14ac:dyDescent="0.45">
      <c r="A213" s="272"/>
      <c r="B213" s="272"/>
      <c r="C213" s="272"/>
      <c r="D213" s="650"/>
      <c r="E213" s="272"/>
      <c r="F213" s="379"/>
      <c r="G213" s="272"/>
      <c r="H213" s="272"/>
      <c r="I213" s="272"/>
      <c r="J213" s="272"/>
      <c r="K213" s="272"/>
      <c r="L213" s="272"/>
      <c r="M213" s="523"/>
      <c r="N213" s="272"/>
      <c r="O213" s="272"/>
      <c r="P213" s="272"/>
      <c r="Q213" s="272"/>
      <c r="R213" s="272"/>
      <c r="S213" s="272"/>
      <c r="T213" s="272"/>
      <c r="U213" s="272"/>
      <c r="V213" s="272"/>
      <c r="W213" s="272"/>
      <c r="X213" s="272"/>
      <c r="Y213" s="272"/>
      <c r="Z213" s="272"/>
      <c r="AA213" s="272"/>
      <c r="AB213" s="272"/>
      <c r="AC213" s="272"/>
      <c r="AD213" s="272"/>
      <c r="AE213" s="272"/>
      <c r="AF213" s="272"/>
    </row>
    <row r="214" spans="1:32" ht="122.4" customHeight="1" thickBot="1" x14ac:dyDescent="0.45">
      <c r="A214" s="272"/>
      <c r="B214" s="272"/>
      <c r="C214" s="272"/>
      <c r="D214" s="650"/>
      <c r="E214" s="272"/>
      <c r="F214" s="379"/>
      <c r="G214" s="272"/>
      <c r="H214" s="272"/>
      <c r="I214" s="272"/>
      <c r="J214" s="272"/>
      <c r="K214" s="272"/>
      <c r="L214" s="272"/>
      <c r="M214" s="523"/>
      <c r="N214" s="272"/>
      <c r="O214" s="272"/>
      <c r="P214" s="272"/>
      <c r="Q214" s="272"/>
      <c r="R214" s="272"/>
      <c r="S214" s="272"/>
      <c r="T214" s="272"/>
      <c r="U214" s="272"/>
      <c r="V214" s="272"/>
      <c r="W214" s="272"/>
      <c r="X214" s="272"/>
      <c r="Y214" s="272"/>
      <c r="Z214" s="272"/>
      <c r="AA214" s="272"/>
      <c r="AB214" s="272"/>
      <c r="AC214" s="272"/>
      <c r="AD214" s="272"/>
      <c r="AE214" s="272"/>
      <c r="AF214" s="272"/>
    </row>
    <row r="215" spans="1:32" ht="122.4" customHeight="1" thickBot="1" x14ac:dyDescent="0.45">
      <c r="A215" s="272"/>
      <c r="B215" s="272"/>
      <c r="C215" s="272"/>
      <c r="D215" s="650"/>
      <c r="E215" s="272"/>
      <c r="F215" s="379"/>
      <c r="G215" s="272"/>
      <c r="H215" s="272"/>
      <c r="I215" s="272"/>
      <c r="J215" s="272"/>
      <c r="K215" s="272"/>
      <c r="L215" s="272"/>
      <c r="M215" s="523"/>
      <c r="N215" s="272"/>
      <c r="O215" s="272"/>
      <c r="P215" s="272"/>
      <c r="Q215" s="272"/>
      <c r="R215" s="272"/>
      <c r="S215" s="272"/>
      <c r="T215" s="272"/>
      <c r="U215" s="272"/>
      <c r="V215" s="272"/>
      <c r="W215" s="272"/>
      <c r="X215" s="272"/>
      <c r="Y215" s="272"/>
      <c r="Z215" s="272"/>
      <c r="AA215" s="272"/>
      <c r="AB215" s="272"/>
      <c r="AC215" s="272"/>
      <c r="AD215" s="272"/>
      <c r="AE215" s="272"/>
      <c r="AF215" s="272"/>
    </row>
    <row r="216" spans="1:32" ht="122.4" customHeight="1" thickBot="1" x14ac:dyDescent="0.45">
      <c r="A216" s="272"/>
      <c r="B216" s="272"/>
      <c r="C216" s="272"/>
      <c r="D216" s="650"/>
      <c r="E216" s="272"/>
      <c r="F216" s="379"/>
      <c r="G216" s="272"/>
      <c r="H216" s="272"/>
      <c r="I216" s="272"/>
      <c r="J216" s="272"/>
      <c r="K216" s="272"/>
      <c r="L216" s="272"/>
      <c r="M216" s="523"/>
      <c r="N216" s="272"/>
      <c r="O216" s="272"/>
      <c r="P216" s="272"/>
      <c r="Q216" s="272"/>
      <c r="R216" s="272"/>
      <c r="S216" s="272"/>
      <c r="T216" s="272"/>
      <c r="U216" s="272"/>
      <c r="V216" s="272"/>
      <c r="W216" s="272"/>
      <c r="X216" s="272"/>
      <c r="Y216" s="272"/>
      <c r="Z216" s="272"/>
      <c r="AA216" s="272"/>
      <c r="AB216" s="272"/>
      <c r="AC216" s="272"/>
      <c r="AD216" s="272"/>
      <c r="AE216" s="272"/>
      <c r="AF216" s="272"/>
    </row>
    <row r="217" spans="1:32" ht="122.4" customHeight="1" thickBot="1" x14ac:dyDescent="0.45">
      <c r="A217" s="272"/>
      <c r="B217" s="272"/>
      <c r="C217" s="272"/>
      <c r="D217" s="650"/>
      <c r="E217" s="272"/>
      <c r="F217" s="379"/>
      <c r="G217" s="272"/>
      <c r="H217" s="272"/>
      <c r="I217" s="272"/>
      <c r="J217" s="272"/>
      <c r="K217" s="272"/>
      <c r="L217" s="272"/>
      <c r="M217" s="523"/>
      <c r="N217" s="272"/>
      <c r="O217" s="272"/>
      <c r="P217" s="272"/>
      <c r="Q217" s="272"/>
      <c r="R217" s="272"/>
      <c r="S217" s="272"/>
      <c r="T217" s="272"/>
      <c r="U217" s="272"/>
      <c r="V217" s="272"/>
      <c r="W217" s="272"/>
      <c r="X217" s="272"/>
      <c r="Y217" s="272"/>
      <c r="Z217" s="272"/>
      <c r="AA217" s="272"/>
      <c r="AB217" s="272"/>
      <c r="AC217" s="272"/>
      <c r="AD217" s="272"/>
      <c r="AE217" s="272"/>
      <c r="AF217" s="272"/>
    </row>
    <row r="218" spans="1:32" ht="122.4" customHeight="1" thickBot="1" x14ac:dyDescent="0.45">
      <c r="A218" s="272"/>
      <c r="B218" s="272"/>
      <c r="C218" s="272"/>
      <c r="D218" s="650"/>
      <c r="E218" s="272"/>
      <c r="F218" s="379"/>
      <c r="G218" s="272"/>
      <c r="H218" s="272"/>
      <c r="I218" s="272"/>
      <c r="J218" s="272"/>
      <c r="K218" s="272"/>
      <c r="L218" s="272"/>
      <c r="M218" s="523"/>
      <c r="N218" s="272"/>
      <c r="O218" s="272"/>
      <c r="P218" s="272"/>
      <c r="Q218" s="272"/>
      <c r="R218" s="272"/>
      <c r="S218" s="272"/>
      <c r="T218" s="272"/>
      <c r="U218" s="272"/>
      <c r="V218" s="272"/>
      <c r="W218" s="272"/>
      <c r="X218" s="272"/>
      <c r="Y218" s="272"/>
      <c r="Z218" s="272"/>
      <c r="AA218" s="272"/>
      <c r="AB218" s="272"/>
      <c r="AC218" s="272"/>
      <c r="AD218" s="272"/>
      <c r="AE218" s="272"/>
      <c r="AF218" s="272"/>
    </row>
    <row r="219" spans="1:32" ht="122.4" customHeight="1" thickBot="1" x14ac:dyDescent="0.45">
      <c r="A219" s="272"/>
      <c r="B219" s="272"/>
      <c r="C219" s="272"/>
      <c r="D219" s="650"/>
      <c r="E219" s="272"/>
      <c r="F219" s="379"/>
      <c r="G219" s="272"/>
      <c r="H219" s="272"/>
      <c r="I219" s="272"/>
      <c r="J219" s="272"/>
      <c r="K219" s="272"/>
      <c r="L219" s="272"/>
      <c r="M219" s="523"/>
      <c r="N219" s="272"/>
      <c r="O219" s="272"/>
      <c r="P219" s="272"/>
      <c r="Q219" s="272"/>
      <c r="R219" s="272"/>
      <c r="S219" s="272"/>
      <c r="T219" s="272"/>
      <c r="U219" s="272"/>
      <c r="V219" s="272"/>
      <c r="W219" s="272"/>
      <c r="X219" s="272"/>
      <c r="Y219" s="272"/>
      <c r="Z219" s="272"/>
      <c r="AA219" s="272"/>
      <c r="AB219" s="272"/>
      <c r="AC219" s="272"/>
      <c r="AD219" s="272"/>
      <c r="AE219" s="272"/>
      <c r="AF219" s="272"/>
    </row>
    <row r="220" spans="1:32" ht="122.4" customHeight="1" thickBot="1" x14ac:dyDescent="0.45">
      <c r="A220" s="272"/>
      <c r="B220" s="272"/>
      <c r="C220" s="272"/>
      <c r="D220" s="650"/>
      <c r="E220" s="272"/>
      <c r="F220" s="379"/>
      <c r="G220" s="272"/>
      <c r="H220" s="272"/>
      <c r="I220" s="272"/>
      <c r="J220" s="272"/>
      <c r="K220" s="272"/>
      <c r="L220" s="272"/>
      <c r="M220" s="523"/>
      <c r="N220" s="272"/>
      <c r="O220" s="272"/>
      <c r="P220" s="272"/>
      <c r="Q220" s="272"/>
      <c r="R220" s="272"/>
      <c r="S220" s="272"/>
      <c r="T220" s="272"/>
      <c r="U220" s="272"/>
      <c r="V220" s="272"/>
      <c r="W220" s="272"/>
      <c r="X220" s="272"/>
      <c r="Y220" s="272"/>
      <c r="Z220" s="272"/>
      <c r="AA220" s="272"/>
      <c r="AB220" s="272"/>
      <c r="AC220" s="272"/>
      <c r="AD220" s="272"/>
      <c r="AE220" s="272"/>
      <c r="AF220" s="272"/>
    </row>
    <row r="221" spans="1:32" ht="122.4" customHeight="1" thickBot="1" x14ac:dyDescent="0.45">
      <c r="A221" s="272"/>
      <c r="B221" s="272"/>
      <c r="C221" s="272"/>
      <c r="D221" s="650"/>
      <c r="E221" s="272"/>
      <c r="F221" s="379"/>
      <c r="G221" s="272"/>
      <c r="H221" s="272"/>
      <c r="I221" s="272"/>
      <c r="J221" s="272"/>
      <c r="K221" s="272"/>
      <c r="L221" s="272"/>
      <c r="M221" s="523"/>
      <c r="N221" s="272"/>
      <c r="O221" s="272"/>
      <c r="P221" s="272"/>
      <c r="Q221" s="272"/>
      <c r="R221" s="272"/>
      <c r="S221" s="272"/>
      <c r="T221" s="272"/>
      <c r="U221" s="272"/>
      <c r="V221" s="272"/>
      <c r="W221" s="272"/>
      <c r="X221" s="272"/>
      <c r="Y221" s="272"/>
      <c r="Z221" s="272"/>
      <c r="AA221" s="272"/>
      <c r="AB221" s="272"/>
      <c r="AC221" s="272"/>
      <c r="AD221" s="272"/>
      <c r="AE221" s="272"/>
      <c r="AF221" s="272"/>
    </row>
    <row r="222" spans="1:32" ht="122.4" customHeight="1" thickBot="1" x14ac:dyDescent="0.45">
      <c r="A222" s="272"/>
      <c r="B222" s="272"/>
      <c r="C222" s="272"/>
      <c r="D222" s="650"/>
      <c r="E222" s="272"/>
      <c r="F222" s="379"/>
      <c r="G222" s="272"/>
      <c r="H222" s="272"/>
      <c r="I222" s="272"/>
      <c r="J222" s="272"/>
      <c r="K222" s="272"/>
      <c r="L222" s="272"/>
      <c r="M222" s="523"/>
      <c r="N222" s="272"/>
      <c r="O222" s="272"/>
      <c r="P222" s="272"/>
      <c r="Q222" s="272"/>
      <c r="R222" s="272"/>
      <c r="S222" s="272"/>
      <c r="T222" s="272"/>
      <c r="U222" s="272"/>
      <c r="V222" s="272"/>
      <c r="W222" s="272"/>
      <c r="X222" s="272"/>
      <c r="Y222" s="272"/>
      <c r="Z222" s="272"/>
      <c r="AA222" s="272"/>
      <c r="AB222" s="272"/>
      <c r="AC222" s="272"/>
      <c r="AD222" s="272"/>
      <c r="AE222" s="272"/>
      <c r="AF222" s="272"/>
    </row>
    <row r="223" spans="1:32" ht="122.4" customHeight="1" thickBot="1" x14ac:dyDescent="0.45">
      <c r="A223" s="272"/>
      <c r="B223" s="272"/>
      <c r="C223" s="272"/>
      <c r="D223" s="650"/>
      <c r="E223" s="272"/>
      <c r="F223" s="379"/>
      <c r="G223" s="272"/>
      <c r="H223" s="272"/>
      <c r="I223" s="272"/>
      <c r="J223" s="272"/>
      <c r="K223" s="272"/>
      <c r="L223" s="272"/>
      <c r="M223" s="523"/>
      <c r="N223" s="272"/>
      <c r="O223" s="272"/>
      <c r="P223" s="272"/>
      <c r="Q223" s="272"/>
      <c r="R223" s="272"/>
      <c r="S223" s="272"/>
      <c r="T223" s="272"/>
      <c r="U223" s="272"/>
      <c r="V223" s="272"/>
      <c r="W223" s="272"/>
      <c r="X223" s="272"/>
      <c r="Y223" s="272"/>
      <c r="Z223" s="272"/>
      <c r="AA223" s="272"/>
      <c r="AB223" s="272"/>
      <c r="AC223" s="272"/>
      <c r="AD223" s="272"/>
      <c r="AE223" s="272"/>
      <c r="AF223" s="272"/>
    </row>
    <row r="224" spans="1:32" ht="122.4" customHeight="1" thickBot="1" x14ac:dyDescent="0.45">
      <c r="A224" s="272"/>
      <c r="B224" s="272"/>
      <c r="C224" s="272"/>
      <c r="D224" s="650"/>
      <c r="E224" s="272"/>
      <c r="F224" s="379"/>
      <c r="G224" s="272"/>
      <c r="H224" s="272"/>
      <c r="I224" s="272"/>
      <c r="J224" s="272"/>
      <c r="K224" s="272"/>
      <c r="L224" s="272"/>
      <c r="M224" s="523"/>
      <c r="N224" s="272"/>
      <c r="O224" s="272"/>
      <c r="P224" s="272"/>
      <c r="Q224" s="272"/>
      <c r="R224" s="272"/>
      <c r="S224" s="272"/>
      <c r="T224" s="272"/>
      <c r="U224" s="272"/>
      <c r="V224" s="272"/>
      <c r="W224" s="272"/>
      <c r="X224" s="272"/>
      <c r="Y224" s="272"/>
      <c r="Z224" s="272"/>
      <c r="AA224" s="272"/>
      <c r="AB224" s="272"/>
      <c r="AC224" s="272"/>
      <c r="AD224" s="272"/>
      <c r="AE224" s="272"/>
      <c r="AF224" s="272"/>
    </row>
    <row r="225" spans="1:32" ht="122.4" customHeight="1" thickBot="1" x14ac:dyDescent="0.45">
      <c r="A225" s="272"/>
      <c r="B225" s="272"/>
      <c r="C225" s="272"/>
      <c r="D225" s="650"/>
      <c r="E225" s="272"/>
      <c r="F225" s="379"/>
      <c r="G225" s="272"/>
      <c r="H225" s="272"/>
      <c r="I225" s="272"/>
      <c r="J225" s="272"/>
      <c r="K225" s="272"/>
      <c r="L225" s="272"/>
      <c r="M225" s="523"/>
      <c r="N225" s="272"/>
      <c r="O225" s="272"/>
      <c r="P225" s="272"/>
      <c r="Q225" s="272"/>
      <c r="R225" s="272"/>
      <c r="S225" s="272"/>
      <c r="T225" s="272"/>
      <c r="U225" s="272"/>
      <c r="V225" s="272"/>
      <c r="W225" s="272"/>
      <c r="X225" s="272"/>
      <c r="Y225" s="272"/>
      <c r="Z225" s="272"/>
      <c r="AA225" s="272"/>
      <c r="AB225" s="272"/>
      <c r="AC225" s="272"/>
      <c r="AD225" s="272"/>
      <c r="AE225" s="272"/>
      <c r="AF225" s="272"/>
    </row>
    <row r="226" spans="1:32" ht="122.4" customHeight="1" thickBot="1" x14ac:dyDescent="0.45">
      <c r="A226" s="272"/>
      <c r="B226" s="272"/>
      <c r="C226" s="272"/>
      <c r="D226" s="650"/>
      <c r="E226" s="272"/>
      <c r="F226" s="379"/>
      <c r="G226" s="272"/>
      <c r="H226" s="272"/>
      <c r="I226" s="272"/>
      <c r="J226" s="272"/>
      <c r="K226" s="272"/>
      <c r="L226" s="272"/>
      <c r="M226" s="523"/>
      <c r="N226" s="272"/>
      <c r="O226" s="272"/>
      <c r="P226" s="272"/>
      <c r="Q226" s="272"/>
      <c r="R226" s="272"/>
      <c r="S226" s="272"/>
      <c r="T226" s="272"/>
      <c r="U226" s="272"/>
      <c r="V226" s="272"/>
      <c r="W226" s="272"/>
      <c r="X226" s="272"/>
      <c r="Y226" s="272"/>
      <c r="Z226" s="272"/>
      <c r="AA226" s="272"/>
      <c r="AB226" s="272"/>
      <c r="AC226" s="272"/>
      <c r="AD226" s="272"/>
      <c r="AE226" s="272"/>
      <c r="AF226" s="272"/>
    </row>
    <row r="227" spans="1:32" ht="122.4" customHeight="1" thickBot="1" x14ac:dyDescent="0.45">
      <c r="A227" s="272"/>
      <c r="B227" s="272"/>
      <c r="C227" s="272"/>
      <c r="D227" s="650"/>
      <c r="E227" s="272"/>
      <c r="F227" s="379"/>
      <c r="G227" s="272"/>
      <c r="H227" s="272"/>
      <c r="I227" s="272"/>
      <c r="J227" s="272"/>
      <c r="K227" s="272"/>
      <c r="L227" s="272"/>
      <c r="M227" s="523"/>
      <c r="N227" s="272"/>
      <c r="O227" s="272"/>
      <c r="P227" s="272"/>
      <c r="Q227" s="272"/>
      <c r="R227" s="272"/>
      <c r="S227" s="272"/>
      <c r="T227" s="272"/>
      <c r="U227" s="272"/>
      <c r="V227" s="272"/>
      <c r="W227" s="272"/>
      <c r="X227" s="272"/>
      <c r="Y227" s="272"/>
      <c r="Z227" s="272"/>
      <c r="AA227" s="272"/>
      <c r="AB227" s="272"/>
      <c r="AC227" s="272"/>
      <c r="AD227" s="272"/>
      <c r="AE227" s="272"/>
      <c r="AF227" s="272"/>
    </row>
    <row r="228" spans="1:32" ht="122.4" customHeight="1" thickBot="1" x14ac:dyDescent="0.45">
      <c r="A228" s="272"/>
      <c r="B228" s="272"/>
      <c r="C228" s="272"/>
      <c r="D228" s="650"/>
      <c r="E228" s="272"/>
      <c r="F228" s="379"/>
      <c r="G228" s="272"/>
      <c r="H228" s="272"/>
      <c r="I228" s="272"/>
      <c r="J228" s="272"/>
      <c r="K228" s="272"/>
      <c r="L228" s="272"/>
      <c r="M228" s="523"/>
      <c r="N228" s="272"/>
      <c r="O228" s="272"/>
      <c r="P228" s="272"/>
      <c r="Q228" s="272"/>
      <c r="R228" s="272"/>
      <c r="S228" s="272"/>
      <c r="T228" s="272"/>
      <c r="U228" s="272"/>
      <c r="V228" s="272"/>
      <c r="W228" s="272"/>
      <c r="X228" s="272"/>
      <c r="Y228" s="272"/>
      <c r="Z228" s="272"/>
      <c r="AA228" s="272"/>
      <c r="AB228" s="272"/>
      <c r="AC228" s="272"/>
      <c r="AD228" s="272"/>
      <c r="AE228" s="272"/>
      <c r="AF228" s="272"/>
    </row>
    <row r="229" spans="1:32" ht="122.4" customHeight="1" thickBot="1" x14ac:dyDescent="0.45">
      <c r="A229" s="272"/>
      <c r="B229" s="272"/>
      <c r="C229" s="272"/>
      <c r="D229" s="650"/>
      <c r="E229" s="272"/>
      <c r="F229" s="379"/>
      <c r="G229" s="272"/>
      <c r="H229" s="272"/>
      <c r="I229" s="272"/>
      <c r="J229" s="272"/>
      <c r="K229" s="272"/>
      <c r="L229" s="272"/>
      <c r="M229" s="523"/>
      <c r="N229" s="272"/>
      <c r="O229" s="272"/>
      <c r="P229" s="272"/>
      <c r="Q229" s="272"/>
      <c r="R229" s="272"/>
      <c r="S229" s="272"/>
      <c r="T229" s="272"/>
      <c r="U229" s="272"/>
      <c r="V229" s="272"/>
      <c r="W229" s="272"/>
      <c r="X229" s="272"/>
      <c r="Y229" s="272"/>
      <c r="Z229" s="272"/>
      <c r="AA229" s="272"/>
      <c r="AB229" s="272"/>
      <c r="AC229" s="272"/>
      <c r="AD229" s="272"/>
      <c r="AE229" s="272"/>
      <c r="AF229" s="272"/>
    </row>
    <row r="230" spans="1:32" ht="122.4" customHeight="1" thickBot="1" x14ac:dyDescent="0.45">
      <c r="A230" s="272"/>
      <c r="B230" s="272"/>
      <c r="C230" s="272"/>
      <c r="D230" s="650"/>
      <c r="E230" s="272"/>
      <c r="F230" s="379"/>
      <c r="G230" s="272"/>
      <c r="H230" s="272"/>
      <c r="I230" s="272"/>
      <c r="J230" s="272"/>
      <c r="K230" s="272"/>
      <c r="L230" s="272"/>
      <c r="M230" s="523"/>
      <c r="N230" s="272"/>
      <c r="O230" s="272"/>
      <c r="P230" s="272"/>
      <c r="Q230" s="272"/>
      <c r="R230" s="272"/>
      <c r="S230" s="272"/>
      <c r="T230" s="272"/>
      <c r="U230" s="272"/>
      <c r="V230" s="272"/>
      <c r="W230" s="272"/>
      <c r="X230" s="272"/>
      <c r="Y230" s="272"/>
      <c r="Z230" s="272"/>
      <c r="AA230" s="272"/>
      <c r="AB230" s="272"/>
      <c r="AC230" s="272"/>
      <c r="AD230" s="272"/>
      <c r="AE230" s="272"/>
      <c r="AF230" s="272"/>
    </row>
    <row r="231" spans="1:32" ht="122.4" customHeight="1" thickBot="1" x14ac:dyDescent="0.45">
      <c r="A231" s="272"/>
      <c r="B231" s="272"/>
      <c r="C231" s="272"/>
      <c r="D231" s="650"/>
      <c r="E231" s="272"/>
      <c r="F231" s="379"/>
      <c r="G231" s="272"/>
      <c r="H231" s="272"/>
      <c r="I231" s="272"/>
      <c r="J231" s="272"/>
      <c r="K231" s="272"/>
      <c r="L231" s="272"/>
      <c r="M231" s="523"/>
      <c r="N231" s="272"/>
      <c r="O231" s="272"/>
      <c r="P231" s="272"/>
      <c r="Q231" s="272"/>
      <c r="R231" s="272"/>
      <c r="S231" s="272"/>
      <c r="T231" s="272"/>
      <c r="U231" s="272"/>
      <c r="V231" s="272"/>
      <c r="W231" s="272"/>
      <c r="X231" s="272"/>
      <c r="Y231" s="272"/>
      <c r="Z231" s="272"/>
      <c r="AA231" s="272"/>
      <c r="AB231" s="272"/>
      <c r="AC231" s="272"/>
      <c r="AD231" s="272"/>
      <c r="AE231" s="272"/>
      <c r="AF231" s="272"/>
    </row>
    <row r="232" spans="1:32" ht="122.4" customHeight="1" thickBot="1" x14ac:dyDescent="0.45">
      <c r="A232" s="272"/>
      <c r="B232" s="272"/>
      <c r="C232" s="272"/>
      <c r="D232" s="650"/>
      <c r="E232" s="272"/>
      <c r="F232" s="379"/>
      <c r="G232" s="272"/>
      <c r="H232" s="272"/>
      <c r="I232" s="272"/>
      <c r="J232" s="272"/>
      <c r="K232" s="272"/>
      <c r="L232" s="272"/>
      <c r="M232" s="523"/>
      <c r="N232" s="272"/>
      <c r="O232" s="272"/>
      <c r="P232" s="272"/>
      <c r="Q232" s="272"/>
      <c r="R232" s="272"/>
      <c r="S232" s="272"/>
      <c r="T232" s="272"/>
      <c r="U232" s="272"/>
      <c r="V232" s="272"/>
      <c r="W232" s="272"/>
      <c r="X232" s="272"/>
      <c r="Y232" s="272"/>
      <c r="Z232" s="272"/>
      <c r="AA232" s="272"/>
      <c r="AB232" s="272"/>
      <c r="AC232" s="272"/>
      <c r="AD232" s="272"/>
      <c r="AE232" s="272"/>
      <c r="AF232" s="272"/>
    </row>
    <row r="233" spans="1:32" ht="122.4" customHeight="1" thickBot="1" x14ac:dyDescent="0.45">
      <c r="A233" s="272"/>
      <c r="B233" s="272"/>
      <c r="C233" s="272"/>
      <c r="D233" s="650"/>
      <c r="E233" s="272"/>
      <c r="F233" s="379"/>
      <c r="G233" s="272"/>
      <c r="H233" s="272"/>
      <c r="I233" s="272"/>
      <c r="J233" s="272"/>
      <c r="K233" s="272"/>
      <c r="L233" s="272"/>
      <c r="M233" s="523"/>
      <c r="N233" s="272"/>
      <c r="O233" s="272"/>
      <c r="P233" s="272"/>
      <c r="Q233" s="272"/>
      <c r="R233" s="272"/>
      <c r="S233" s="272"/>
      <c r="T233" s="272"/>
      <c r="U233" s="272"/>
      <c r="V233" s="272"/>
      <c r="W233" s="272"/>
      <c r="X233" s="272"/>
      <c r="Y233" s="272"/>
      <c r="Z233" s="272"/>
      <c r="AA233" s="272"/>
      <c r="AB233" s="272"/>
      <c r="AC233" s="272"/>
      <c r="AD233" s="272"/>
      <c r="AE233" s="272"/>
      <c r="AF233" s="272"/>
    </row>
    <row r="234" spans="1:32" ht="122.4" customHeight="1" thickBot="1" x14ac:dyDescent="0.45">
      <c r="A234" s="272"/>
      <c r="B234" s="272"/>
      <c r="C234" s="272"/>
      <c r="D234" s="650"/>
      <c r="E234" s="272"/>
      <c r="F234" s="379"/>
      <c r="G234" s="272"/>
      <c r="H234" s="272"/>
      <c r="I234" s="272"/>
      <c r="J234" s="272"/>
      <c r="K234" s="272"/>
      <c r="L234" s="272"/>
      <c r="M234" s="523"/>
      <c r="N234" s="272"/>
      <c r="O234" s="272"/>
      <c r="P234" s="272"/>
      <c r="Q234" s="272"/>
      <c r="R234" s="272"/>
      <c r="S234" s="272"/>
      <c r="T234" s="272"/>
      <c r="U234" s="272"/>
      <c r="V234" s="272"/>
      <c r="W234" s="272"/>
      <c r="X234" s="272"/>
      <c r="Y234" s="272"/>
      <c r="Z234" s="272"/>
      <c r="AA234" s="272"/>
      <c r="AB234" s="272"/>
      <c r="AC234" s="272"/>
      <c r="AD234" s="272"/>
      <c r="AE234" s="272"/>
      <c r="AF234" s="272"/>
    </row>
    <row r="235" spans="1:32" ht="122.4" customHeight="1" thickBot="1" x14ac:dyDescent="0.45">
      <c r="A235" s="272"/>
      <c r="B235" s="272"/>
      <c r="C235" s="272"/>
      <c r="D235" s="650"/>
      <c r="E235" s="272"/>
      <c r="F235" s="379"/>
      <c r="G235" s="272"/>
      <c r="H235" s="272"/>
      <c r="I235" s="272"/>
      <c r="J235" s="272"/>
      <c r="K235" s="272"/>
      <c r="L235" s="272"/>
      <c r="M235" s="523"/>
      <c r="N235" s="272"/>
      <c r="O235" s="272"/>
      <c r="P235" s="272"/>
      <c r="Q235" s="272"/>
      <c r="R235" s="272"/>
      <c r="S235" s="272"/>
      <c r="T235" s="272"/>
      <c r="U235" s="272"/>
      <c r="V235" s="272"/>
      <c r="W235" s="272"/>
      <c r="X235" s="272"/>
      <c r="Y235" s="272"/>
      <c r="Z235" s="272"/>
      <c r="AA235" s="272"/>
      <c r="AB235" s="272"/>
      <c r="AC235" s="272"/>
      <c r="AD235" s="272"/>
      <c r="AE235" s="272"/>
      <c r="AF235" s="272"/>
    </row>
    <row r="236" spans="1:32" ht="122.4" customHeight="1" thickBot="1" x14ac:dyDescent="0.45">
      <c r="A236" s="272"/>
      <c r="B236" s="272"/>
      <c r="C236" s="272"/>
      <c r="D236" s="650"/>
      <c r="E236" s="272"/>
      <c r="F236" s="379"/>
      <c r="G236" s="272"/>
      <c r="H236" s="272"/>
      <c r="I236" s="272"/>
      <c r="J236" s="272"/>
      <c r="K236" s="272"/>
      <c r="L236" s="272"/>
      <c r="M236" s="523"/>
      <c r="N236" s="272"/>
      <c r="O236" s="272"/>
      <c r="P236" s="272"/>
      <c r="Q236" s="272"/>
      <c r="R236" s="272"/>
      <c r="S236" s="272"/>
      <c r="T236" s="272"/>
      <c r="U236" s="272"/>
      <c r="V236" s="272"/>
      <c r="W236" s="272"/>
      <c r="X236" s="272"/>
      <c r="Y236" s="272"/>
      <c r="Z236" s="272"/>
      <c r="AA236" s="272"/>
      <c r="AB236" s="272"/>
      <c r="AC236" s="272"/>
      <c r="AD236" s="272"/>
      <c r="AE236" s="272"/>
      <c r="AF236" s="272"/>
    </row>
    <row r="237" spans="1:32" ht="122.4" customHeight="1" thickBot="1" x14ac:dyDescent="0.45">
      <c r="A237" s="272"/>
      <c r="B237" s="272"/>
      <c r="C237" s="272"/>
      <c r="D237" s="650"/>
      <c r="E237" s="272"/>
      <c r="F237" s="379"/>
      <c r="G237" s="272"/>
      <c r="H237" s="272"/>
      <c r="I237" s="272"/>
      <c r="J237" s="272"/>
      <c r="K237" s="272"/>
      <c r="L237" s="272"/>
      <c r="M237" s="523"/>
      <c r="N237" s="272"/>
      <c r="O237" s="272"/>
      <c r="P237" s="272"/>
      <c r="Q237" s="272"/>
      <c r="R237" s="272"/>
      <c r="S237" s="272"/>
      <c r="T237" s="272"/>
      <c r="U237" s="272"/>
      <c r="V237" s="272"/>
      <c r="W237" s="272"/>
      <c r="X237" s="272"/>
      <c r="Y237" s="272"/>
      <c r="Z237" s="272"/>
      <c r="AA237" s="272"/>
      <c r="AB237" s="272"/>
      <c r="AC237" s="272"/>
      <c r="AD237" s="272"/>
      <c r="AE237" s="272"/>
      <c r="AF237" s="272"/>
    </row>
    <row r="238" spans="1:32" ht="122.4" customHeight="1" thickBot="1" x14ac:dyDescent="0.45">
      <c r="A238" s="272"/>
      <c r="B238" s="272"/>
      <c r="C238" s="272"/>
      <c r="D238" s="650"/>
      <c r="E238" s="272"/>
      <c r="F238" s="379"/>
      <c r="G238" s="272"/>
      <c r="H238" s="272"/>
      <c r="I238" s="272"/>
      <c r="J238" s="272"/>
      <c r="K238" s="272"/>
      <c r="L238" s="272"/>
      <c r="M238" s="523"/>
      <c r="N238" s="272"/>
      <c r="O238" s="272"/>
      <c r="P238" s="272"/>
      <c r="Q238" s="272"/>
      <c r="R238" s="272"/>
      <c r="S238" s="272"/>
      <c r="T238" s="272"/>
      <c r="U238" s="272"/>
      <c r="V238" s="272"/>
      <c r="W238" s="272"/>
      <c r="X238" s="272"/>
      <c r="Y238" s="272"/>
      <c r="Z238" s="272"/>
      <c r="AA238" s="272"/>
      <c r="AB238" s="272"/>
      <c r="AC238" s="272"/>
      <c r="AD238" s="272"/>
      <c r="AE238" s="272"/>
      <c r="AF238" s="272"/>
    </row>
    <row r="239" spans="1:32" ht="122.4" customHeight="1" thickBot="1" x14ac:dyDescent="0.45">
      <c r="A239" s="272"/>
      <c r="B239" s="272"/>
      <c r="C239" s="272"/>
      <c r="D239" s="650"/>
      <c r="E239" s="272"/>
      <c r="F239" s="379"/>
      <c r="G239" s="272"/>
      <c r="H239" s="272"/>
      <c r="I239" s="272"/>
      <c r="J239" s="272"/>
      <c r="K239" s="272"/>
      <c r="L239" s="272"/>
      <c r="M239" s="523"/>
      <c r="N239" s="272"/>
      <c r="O239" s="272"/>
      <c r="P239" s="272"/>
      <c r="Q239" s="272"/>
      <c r="R239" s="272"/>
      <c r="S239" s="272"/>
      <c r="T239" s="272"/>
      <c r="U239" s="272"/>
      <c r="V239" s="272"/>
      <c r="W239" s="272"/>
      <c r="X239" s="272"/>
      <c r="Y239" s="272"/>
      <c r="Z239" s="272"/>
      <c r="AA239" s="272"/>
      <c r="AB239" s="272"/>
      <c r="AC239" s="272"/>
      <c r="AD239" s="272"/>
      <c r="AE239" s="272"/>
      <c r="AF239" s="272"/>
    </row>
    <row r="240" spans="1:32" ht="122.4" customHeight="1" thickBot="1" x14ac:dyDescent="0.45">
      <c r="A240" s="272"/>
      <c r="B240" s="272"/>
      <c r="C240" s="272"/>
      <c r="D240" s="650"/>
      <c r="E240" s="272"/>
      <c r="F240" s="379"/>
      <c r="G240" s="272"/>
      <c r="H240" s="272"/>
      <c r="I240" s="272"/>
      <c r="J240" s="272"/>
      <c r="K240" s="272"/>
      <c r="L240" s="272"/>
      <c r="M240" s="523"/>
      <c r="N240" s="272"/>
      <c r="O240" s="272"/>
      <c r="P240" s="272"/>
      <c r="Q240" s="272"/>
      <c r="R240" s="272"/>
      <c r="S240" s="272"/>
      <c r="T240" s="272"/>
      <c r="U240" s="272"/>
      <c r="V240" s="272"/>
      <c r="W240" s="272"/>
      <c r="X240" s="272"/>
      <c r="Y240" s="272"/>
      <c r="Z240" s="272"/>
      <c r="AA240" s="272"/>
      <c r="AB240" s="272"/>
      <c r="AC240" s="272"/>
      <c r="AD240" s="272"/>
      <c r="AE240" s="272"/>
      <c r="AF240" s="272"/>
    </row>
    <row r="241" spans="1:32" ht="122.4" customHeight="1" thickBot="1" x14ac:dyDescent="0.45">
      <c r="A241" s="272"/>
      <c r="B241" s="272"/>
      <c r="C241" s="272"/>
      <c r="D241" s="650"/>
      <c r="E241" s="272"/>
      <c r="F241" s="379"/>
      <c r="G241" s="272"/>
      <c r="H241" s="272"/>
      <c r="I241" s="272"/>
      <c r="J241" s="272"/>
      <c r="K241" s="272"/>
      <c r="L241" s="272"/>
      <c r="M241" s="523"/>
      <c r="N241" s="272"/>
      <c r="O241" s="272"/>
      <c r="P241" s="272"/>
      <c r="Q241" s="272"/>
      <c r="R241" s="272"/>
      <c r="S241" s="272"/>
      <c r="T241" s="272"/>
      <c r="U241" s="272"/>
      <c r="V241" s="272"/>
      <c r="W241" s="272"/>
      <c r="X241" s="272"/>
      <c r="Y241" s="272"/>
      <c r="Z241" s="272"/>
      <c r="AA241" s="272"/>
      <c r="AB241" s="272"/>
      <c r="AC241" s="272"/>
      <c r="AD241" s="272"/>
      <c r="AE241" s="272"/>
      <c r="AF241" s="272"/>
    </row>
    <row r="242" spans="1:32" ht="122.4" customHeight="1" thickBot="1" x14ac:dyDescent="0.45">
      <c r="A242" s="272"/>
      <c r="B242" s="272"/>
      <c r="C242" s="272"/>
      <c r="D242" s="650"/>
      <c r="E242" s="272"/>
      <c r="F242" s="379"/>
      <c r="G242" s="272"/>
      <c r="H242" s="272"/>
      <c r="I242" s="272"/>
      <c r="J242" s="272"/>
      <c r="K242" s="272"/>
      <c r="L242" s="272"/>
      <c r="M242" s="523"/>
      <c r="N242" s="272"/>
      <c r="O242" s="272"/>
      <c r="P242" s="272"/>
      <c r="Q242" s="272"/>
      <c r="R242" s="272"/>
      <c r="S242" s="272"/>
      <c r="T242" s="272"/>
      <c r="U242" s="272"/>
      <c r="V242" s="272"/>
      <c r="W242" s="272"/>
      <c r="X242" s="272"/>
      <c r="Y242" s="272"/>
      <c r="Z242" s="272"/>
      <c r="AA242" s="272"/>
      <c r="AB242" s="272"/>
      <c r="AC242" s="272"/>
      <c r="AD242" s="272"/>
      <c r="AE242" s="272"/>
      <c r="AF242" s="272"/>
    </row>
    <row r="243" spans="1:32" ht="122.4" customHeight="1" thickBot="1" x14ac:dyDescent="0.45">
      <c r="A243" s="272"/>
      <c r="B243" s="272"/>
      <c r="C243" s="272"/>
      <c r="D243" s="650"/>
      <c r="E243" s="272"/>
      <c r="F243" s="379"/>
      <c r="G243" s="272"/>
      <c r="H243" s="272"/>
      <c r="I243" s="272"/>
      <c r="J243" s="272"/>
      <c r="K243" s="272"/>
      <c r="L243" s="272"/>
      <c r="M243" s="523"/>
      <c r="N243" s="272"/>
      <c r="O243" s="272"/>
      <c r="P243" s="272"/>
      <c r="Q243" s="272"/>
      <c r="R243" s="272"/>
      <c r="S243" s="272"/>
      <c r="T243" s="272"/>
      <c r="U243" s="272"/>
      <c r="V243" s="272"/>
      <c r="W243" s="272"/>
      <c r="X243" s="272"/>
      <c r="Y243" s="272"/>
      <c r="Z243" s="272"/>
      <c r="AA243" s="272"/>
      <c r="AB243" s="272"/>
      <c r="AC243" s="272"/>
      <c r="AD243" s="272"/>
      <c r="AE243" s="272"/>
      <c r="AF243" s="272"/>
    </row>
    <row r="244" spans="1:32" ht="122.4" customHeight="1" thickBot="1" x14ac:dyDescent="0.45">
      <c r="A244" s="272"/>
      <c r="B244" s="272"/>
      <c r="C244" s="272"/>
      <c r="D244" s="650"/>
      <c r="E244" s="272"/>
      <c r="F244" s="379"/>
      <c r="G244" s="272"/>
      <c r="H244" s="272"/>
      <c r="I244" s="272"/>
      <c r="J244" s="272"/>
      <c r="K244" s="272"/>
      <c r="L244" s="272"/>
      <c r="M244" s="523"/>
      <c r="N244" s="272"/>
      <c r="O244" s="272"/>
      <c r="P244" s="272"/>
      <c r="Q244" s="272"/>
      <c r="R244" s="272"/>
      <c r="S244" s="272"/>
      <c r="T244" s="272"/>
      <c r="U244" s="272"/>
      <c r="V244" s="272"/>
      <c r="W244" s="272"/>
      <c r="X244" s="272"/>
      <c r="Y244" s="272"/>
      <c r="Z244" s="272"/>
      <c r="AA244" s="272"/>
      <c r="AB244" s="272"/>
      <c r="AC244" s="272"/>
      <c r="AD244" s="272"/>
      <c r="AE244" s="272"/>
      <c r="AF244" s="272"/>
    </row>
    <row r="245" spans="1:32" ht="122.4" customHeight="1" thickBot="1" x14ac:dyDescent="0.45">
      <c r="A245" s="272"/>
      <c r="B245" s="272"/>
      <c r="C245" s="272"/>
      <c r="D245" s="650"/>
      <c r="E245" s="272"/>
      <c r="F245" s="379"/>
      <c r="G245" s="272"/>
      <c r="H245" s="272"/>
      <c r="I245" s="272"/>
      <c r="J245" s="272"/>
      <c r="K245" s="272"/>
      <c r="L245" s="272"/>
      <c r="M245" s="523"/>
      <c r="N245" s="272"/>
      <c r="O245" s="272"/>
      <c r="P245" s="272"/>
      <c r="Q245" s="272"/>
      <c r="R245" s="272"/>
      <c r="S245" s="272"/>
      <c r="T245" s="272"/>
      <c r="U245" s="272"/>
      <c r="V245" s="272"/>
      <c r="W245" s="272"/>
      <c r="X245" s="272"/>
      <c r="Y245" s="272"/>
      <c r="Z245" s="272"/>
      <c r="AA245" s="272"/>
      <c r="AB245" s="272"/>
      <c r="AC245" s="272"/>
      <c r="AD245" s="272"/>
      <c r="AE245" s="272"/>
      <c r="AF245" s="272"/>
    </row>
    <row r="246" spans="1:32" ht="122.4" customHeight="1" thickBot="1" x14ac:dyDescent="0.45">
      <c r="A246" s="272"/>
      <c r="B246" s="272"/>
      <c r="C246" s="272"/>
      <c r="D246" s="650"/>
      <c r="E246" s="272"/>
      <c r="F246" s="379"/>
      <c r="G246" s="272"/>
      <c r="H246" s="272"/>
      <c r="I246" s="272"/>
      <c r="J246" s="272"/>
      <c r="K246" s="272"/>
      <c r="L246" s="272"/>
      <c r="M246" s="523"/>
      <c r="N246" s="272"/>
      <c r="O246" s="272"/>
      <c r="P246" s="272"/>
      <c r="Q246" s="272"/>
      <c r="R246" s="272"/>
      <c r="S246" s="272"/>
      <c r="T246" s="272"/>
      <c r="U246" s="272"/>
      <c r="V246" s="272"/>
      <c r="W246" s="272"/>
      <c r="X246" s="272"/>
      <c r="Y246" s="272"/>
      <c r="Z246" s="272"/>
      <c r="AA246" s="272"/>
      <c r="AB246" s="272"/>
      <c r="AC246" s="272"/>
      <c r="AD246" s="272"/>
      <c r="AE246" s="272"/>
      <c r="AF246" s="272"/>
    </row>
    <row r="247" spans="1:32" ht="122.4" customHeight="1" thickBot="1" x14ac:dyDescent="0.45">
      <c r="A247" s="272"/>
      <c r="B247" s="272"/>
      <c r="C247" s="272"/>
      <c r="D247" s="650"/>
      <c r="E247" s="272"/>
      <c r="F247" s="379"/>
      <c r="G247" s="272"/>
      <c r="H247" s="272"/>
      <c r="I247" s="272"/>
      <c r="J247" s="272"/>
      <c r="K247" s="272"/>
      <c r="L247" s="272"/>
      <c r="M247" s="523"/>
      <c r="N247" s="272"/>
      <c r="O247" s="272"/>
      <c r="P247" s="272"/>
      <c r="Q247" s="272"/>
      <c r="R247" s="272"/>
      <c r="S247" s="272"/>
      <c r="T247" s="272"/>
      <c r="U247" s="272"/>
      <c r="V247" s="272"/>
      <c r="W247" s="272"/>
      <c r="X247" s="272"/>
      <c r="Y247" s="272"/>
      <c r="Z247" s="272"/>
      <c r="AA247" s="272"/>
      <c r="AB247" s="272"/>
      <c r="AC247" s="272"/>
      <c r="AD247" s="272"/>
      <c r="AE247" s="272"/>
      <c r="AF247" s="272"/>
    </row>
    <row r="248" spans="1:32" ht="122.4" customHeight="1" thickBot="1" x14ac:dyDescent="0.45">
      <c r="A248" s="272"/>
      <c r="B248" s="272"/>
      <c r="C248" s="272"/>
      <c r="D248" s="650"/>
      <c r="E248" s="272"/>
      <c r="F248" s="379"/>
      <c r="G248" s="272"/>
      <c r="H248" s="272"/>
      <c r="I248" s="272"/>
      <c r="J248" s="272"/>
      <c r="K248" s="272"/>
      <c r="L248" s="272"/>
      <c r="M248" s="523"/>
      <c r="N248" s="272"/>
      <c r="O248" s="272"/>
      <c r="P248" s="272"/>
      <c r="Q248" s="272"/>
      <c r="R248" s="272"/>
      <c r="S248" s="272"/>
      <c r="T248" s="272"/>
      <c r="U248" s="272"/>
      <c r="V248" s="272"/>
      <c r="W248" s="272"/>
      <c r="X248" s="272"/>
      <c r="Y248" s="272"/>
      <c r="Z248" s="272"/>
      <c r="AA248" s="272"/>
      <c r="AB248" s="272"/>
      <c r="AC248" s="272"/>
      <c r="AD248" s="272"/>
      <c r="AE248" s="272"/>
      <c r="AF248" s="272"/>
    </row>
    <row r="249" spans="1:32" ht="122.4" customHeight="1" thickBot="1" x14ac:dyDescent="0.45">
      <c r="A249" s="272"/>
      <c r="B249" s="272"/>
      <c r="C249" s="272"/>
      <c r="D249" s="650"/>
      <c r="E249" s="272"/>
      <c r="F249" s="379"/>
      <c r="G249" s="272"/>
      <c r="H249" s="272"/>
      <c r="I249" s="272"/>
      <c r="J249" s="272"/>
      <c r="K249" s="272"/>
      <c r="L249" s="272"/>
      <c r="M249" s="523"/>
      <c r="N249" s="272"/>
      <c r="O249" s="272"/>
      <c r="P249" s="272"/>
      <c r="Q249" s="272"/>
      <c r="R249" s="272"/>
      <c r="S249" s="272"/>
      <c r="T249" s="272"/>
      <c r="U249" s="272"/>
      <c r="V249" s="272"/>
      <c r="W249" s="272"/>
      <c r="X249" s="272"/>
      <c r="Y249" s="272"/>
      <c r="Z249" s="272"/>
      <c r="AA249" s="272"/>
      <c r="AB249" s="272"/>
      <c r="AC249" s="272"/>
      <c r="AD249" s="272"/>
      <c r="AE249" s="272"/>
      <c r="AF249" s="272"/>
    </row>
    <row r="250" spans="1:32" ht="122.4" customHeight="1" thickBot="1" x14ac:dyDescent="0.45">
      <c r="A250" s="272"/>
      <c r="B250" s="272"/>
      <c r="C250" s="272"/>
      <c r="D250" s="650"/>
      <c r="E250" s="272"/>
      <c r="F250" s="379"/>
      <c r="G250" s="272"/>
      <c r="H250" s="272"/>
      <c r="I250" s="272"/>
      <c r="J250" s="272"/>
      <c r="K250" s="272"/>
      <c r="L250" s="272"/>
      <c r="M250" s="523"/>
      <c r="N250" s="272"/>
      <c r="O250" s="272"/>
      <c r="P250" s="272"/>
      <c r="Q250" s="272"/>
      <c r="R250" s="272"/>
      <c r="S250" s="272"/>
      <c r="T250" s="272"/>
      <c r="U250" s="272"/>
      <c r="V250" s="272"/>
      <c r="W250" s="272"/>
      <c r="X250" s="272"/>
      <c r="Y250" s="272"/>
      <c r="Z250" s="272"/>
      <c r="AA250" s="272"/>
      <c r="AB250" s="272"/>
      <c r="AC250" s="272"/>
      <c r="AD250" s="272"/>
      <c r="AE250" s="272"/>
      <c r="AF250" s="272"/>
    </row>
    <row r="251" spans="1:32" ht="122.4" customHeight="1" thickBot="1" x14ac:dyDescent="0.45">
      <c r="A251" s="272"/>
      <c r="B251" s="272"/>
      <c r="C251" s="272"/>
      <c r="D251" s="650"/>
      <c r="E251" s="272"/>
      <c r="F251" s="379"/>
      <c r="G251" s="272"/>
      <c r="H251" s="272"/>
      <c r="I251" s="272"/>
      <c r="J251" s="272"/>
      <c r="K251" s="272"/>
      <c r="L251" s="272"/>
      <c r="M251" s="523"/>
      <c r="N251" s="272"/>
      <c r="O251" s="272"/>
      <c r="P251" s="272"/>
      <c r="Q251" s="272"/>
      <c r="R251" s="272"/>
      <c r="S251" s="272"/>
      <c r="T251" s="272"/>
      <c r="U251" s="272"/>
      <c r="V251" s="272"/>
      <c r="W251" s="272"/>
      <c r="X251" s="272"/>
      <c r="Y251" s="272"/>
      <c r="Z251" s="272"/>
      <c r="AA251" s="272"/>
      <c r="AB251" s="272"/>
      <c r="AC251" s="272"/>
      <c r="AD251" s="272"/>
      <c r="AE251" s="272"/>
      <c r="AF251" s="272"/>
    </row>
    <row r="252" spans="1:32" ht="122.4" customHeight="1" thickBot="1" x14ac:dyDescent="0.45">
      <c r="A252" s="272"/>
      <c r="B252" s="272"/>
      <c r="C252" s="272"/>
      <c r="D252" s="650"/>
      <c r="E252" s="272"/>
      <c r="F252" s="379"/>
      <c r="G252" s="272"/>
      <c r="H252" s="272"/>
      <c r="I252" s="272"/>
      <c r="J252" s="272"/>
      <c r="K252" s="272"/>
      <c r="L252" s="272"/>
      <c r="M252" s="523"/>
      <c r="N252" s="272"/>
      <c r="O252" s="272"/>
      <c r="P252" s="272"/>
      <c r="Q252" s="272"/>
      <c r="R252" s="272"/>
      <c r="S252" s="272"/>
      <c r="T252" s="272"/>
      <c r="U252" s="272"/>
      <c r="V252" s="272"/>
      <c r="W252" s="272"/>
      <c r="X252" s="272"/>
      <c r="Y252" s="272"/>
      <c r="Z252" s="272"/>
      <c r="AA252" s="272"/>
      <c r="AB252" s="272"/>
      <c r="AC252" s="272"/>
      <c r="AD252" s="272"/>
      <c r="AE252" s="272"/>
      <c r="AF252" s="272"/>
    </row>
    <row r="253" spans="1:32" ht="122.4" customHeight="1" thickBot="1" x14ac:dyDescent="0.45">
      <c r="A253" s="272"/>
      <c r="B253" s="272"/>
      <c r="C253" s="272"/>
      <c r="D253" s="650"/>
      <c r="E253" s="272"/>
      <c r="F253" s="379"/>
      <c r="G253" s="272"/>
      <c r="H253" s="272"/>
      <c r="I253" s="272"/>
      <c r="J253" s="272"/>
      <c r="K253" s="272"/>
      <c r="L253" s="272"/>
      <c r="M253" s="523"/>
      <c r="N253" s="272"/>
      <c r="O253" s="272"/>
      <c r="P253" s="272"/>
      <c r="Q253" s="272"/>
      <c r="R253" s="272"/>
      <c r="S253" s="272"/>
      <c r="T253" s="272"/>
      <c r="U253" s="272"/>
      <c r="V253" s="272"/>
      <c r="W253" s="272"/>
      <c r="X253" s="272"/>
      <c r="Y253" s="272"/>
      <c r="Z253" s="272"/>
      <c r="AA253" s="272"/>
      <c r="AB253" s="272"/>
      <c r="AC253" s="272"/>
      <c r="AD253" s="272"/>
      <c r="AE253" s="272"/>
      <c r="AF253" s="272"/>
    </row>
    <row r="254" spans="1:32" ht="122.4" customHeight="1" thickBot="1" x14ac:dyDescent="0.45">
      <c r="A254" s="272"/>
      <c r="B254" s="272"/>
      <c r="C254" s="272"/>
      <c r="D254" s="650"/>
      <c r="E254" s="272"/>
      <c r="F254" s="379"/>
      <c r="G254" s="272"/>
      <c r="H254" s="272"/>
      <c r="I254" s="272"/>
      <c r="J254" s="272"/>
      <c r="K254" s="272"/>
      <c r="L254" s="272"/>
      <c r="M254" s="523"/>
      <c r="N254" s="272"/>
      <c r="O254" s="272"/>
      <c r="P254" s="272"/>
      <c r="Q254" s="272"/>
      <c r="R254" s="272"/>
      <c r="S254" s="272"/>
      <c r="T254" s="272"/>
      <c r="U254" s="272"/>
      <c r="V254" s="272"/>
      <c r="W254" s="272"/>
      <c r="X254" s="272"/>
      <c r="Y254" s="272"/>
      <c r="Z254" s="272"/>
      <c r="AA254" s="272"/>
      <c r="AB254" s="272"/>
      <c r="AC254" s="272"/>
      <c r="AD254" s="272"/>
      <c r="AE254" s="272"/>
      <c r="AF254" s="272"/>
    </row>
    <row r="255" spans="1:32" ht="122.4" customHeight="1" thickBot="1" x14ac:dyDescent="0.45">
      <c r="A255" s="272"/>
      <c r="B255" s="272"/>
      <c r="C255" s="272"/>
      <c r="D255" s="650"/>
      <c r="E255" s="272"/>
      <c r="F255" s="379"/>
      <c r="G255" s="272"/>
      <c r="H255" s="272"/>
      <c r="I255" s="272"/>
      <c r="J255" s="272"/>
      <c r="K255" s="272"/>
      <c r="L255" s="272"/>
      <c r="M255" s="523"/>
      <c r="N255" s="272"/>
      <c r="O255" s="272"/>
      <c r="P255" s="272"/>
      <c r="Q255" s="272"/>
      <c r="R255" s="272"/>
      <c r="S255" s="272"/>
      <c r="T255" s="272"/>
      <c r="U255" s="272"/>
      <c r="V255" s="272"/>
      <c r="W255" s="272"/>
      <c r="X255" s="272"/>
      <c r="Y255" s="272"/>
      <c r="Z255" s="272"/>
      <c r="AA255" s="272"/>
      <c r="AB255" s="272"/>
      <c r="AC255" s="272"/>
      <c r="AD255" s="272"/>
      <c r="AE255" s="272"/>
      <c r="AF255" s="272"/>
    </row>
    <row r="256" spans="1:32" ht="122.4" customHeight="1" thickBot="1" x14ac:dyDescent="0.45">
      <c r="A256" s="272"/>
      <c r="B256" s="272"/>
      <c r="C256" s="272"/>
      <c r="D256" s="650"/>
      <c r="E256" s="272"/>
      <c r="F256" s="379"/>
      <c r="G256" s="272"/>
      <c r="H256" s="272"/>
      <c r="I256" s="272"/>
      <c r="J256" s="272"/>
      <c r="K256" s="272"/>
      <c r="L256" s="272"/>
      <c r="M256" s="523"/>
      <c r="N256" s="272"/>
      <c r="O256" s="272"/>
      <c r="P256" s="272"/>
      <c r="Q256" s="272"/>
      <c r="R256" s="272"/>
      <c r="S256" s="272"/>
      <c r="T256" s="272"/>
      <c r="U256" s="272"/>
      <c r="V256" s="272"/>
      <c r="W256" s="272"/>
      <c r="X256" s="272"/>
      <c r="Y256" s="272"/>
      <c r="Z256" s="272"/>
      <c r="AA256" s="272"/>
      <c r="AB256" s="272"/>
      <c r="AC256" s="272"/>
      <c r="AD256" s="272"/>
      <c r="AE256" s="272"/>
      <c r="AF256" s="272"/>
    </row>
    <row r="257" spans="1:32" ht="122.4" customHeight="1" thickBot="1" x14ac:dyDescent="0.45">
      <c r="A257" s="272"/>
      <c r="B257" s="272"/>
      <c r="C257" s="272"/>
      <c r="D257" s="650"/>
      <c r="E257" s="272"/>
      <c r="F257" s="379"/>
      <c r="G257" s="272"/>
      <c r="H257" s="272"/>
      <c r="I257" s="272"/>
      <c r="J257" s="272"/>
      <c r="K257" s="272"/>
      <c r="L257" s="272"/>
      <c r="M257" s="523"/>
      <c r="N257" s="272"/>
      <c r="O257" s="272"/>
      <c r="P257" s="272"/>
      <c r="Q257" s="272"/>
      <c r="R257" s="272"/>
      <c r="S257" s="272"/>
      <c r="T257" s="272"/>
      <c r="U257" s="272"/>
      <c r="V257" s="272"/>
      <c r="W257" s="272"/>
      <c r="X257" s="272"/>
      <c r="Y257" s="272"/>
      <c r="Z257" s="272"/>
      <c r="AA257" s="272"/>
      <c r="AB257" s="272"/>
      <c r="AC257" s="272"/>
      <c r="AD257" s="272"/>
      <c r="AE257" s="272"/>
      <c r="AF257" s="272"/>
    </row>
    <row r="258" spans="1:32" ht="122.4" customHeight="1" thickBot="1" x14ac:dyDescent="0.45">
      <c r="A258" s="272"/>
      <c r="B258" s="272"/>
      <c r="C258" s="272"/>
      <c r="D258" s="650"/>
      <c r="E258" s="272"/>
      <c r="F258" s="379"/>
      <c r="G258" s="272"/>
      <c r="H258" s="272"/>
      <c r="I258" s="272"/>
      <c r="J258" s="272"/>
      <c r="K258" s="272"/>
      <c r="L258" s="272"/>
      <c r="M258" s="523"/>
      <c r="N258" s="272"/>
      <c r="O258" s="272"/>
      <c r="P258" s="272"/>
      <c r="Q258" s="272"/>
      <c r="R258" s="272"/>
      <c r="S258" s="272"/>
      <c r="T258" s="272"/>
      <c r="U258" s="272"/>
      <c r="V258" s="272"/>
      <c r="W258" s="272"/>
      <c r="X258" s="272"/>
      <c r="Y258" s="272"/>
      <c r="Z258" s="272"/>
      <c r="AA258" s="272"/>
      <c r="AB258" s="272"/>
      <c r="AC258" s="272"/>
      <c r="AD258" s="272"/>
      <c r="AE258" s="272"/>
      <c r="AF258" s="272"/>
    </row>
    <row r="259" spans="1:32" ht="122.4" customHeight="1" thickBot="1" x14ac:dyDescent="0.45">
      <c r="A259" s="272"/>
      <c r="B259" s="272"/>
      <c r="C259" s="272"/>
      <c r="D259" s="650"/>
      <c r="E259" s="272"/>
      <c r="F259" s="379"/>
      <c r="G259" s="272"/>
      <c r="H259" s="272"/>
      <c r="I259" s="272"/>
      <c r="J259" s="272"/>
      <c r="K259" s="272"/>
      <c r="L259" s="272"/>
      <c r="M259" s="523"/>
      <c r="N259" s="272"/>
      <c r="O259" s="272"/>
      <c r="P259" s="272"/>
      <c r="Q259" s="272"/>
      <c r="R259" s="272"/>
      <c r="S259" s="272"/>
      <c r="T259" s="272"/>
      <c r="U259" s="272"/>
      <c r="V259" s="272"/>
      <c r="W259" s="272"/>
      <c r="X259" s="272"/>
      <c r="Y259" s="272"/>
      <c r="Z259" s="272"/>
      <c r="AA259" s="272"/>
      <c r="AB259" s="272"/>
      <c r="AC259" s="272"/>
      <c r="AD259" s="272"/>
      <c r="AE259" s="272"/>
      <c r="AF259" s="272"/>
    </row>
    <row r="260" spans="1:32" ht="122.4" customHeight="1" thickBot="1" x14ac:dyDescent="0.45">
      <c r="A260" s="272"/>
      <c r="B260" s="272"/>
      <c r="C260" s="272"/>
      <c r="D260" s="650"/>
      <c r="E260" s="272"/>
      <c r="F260" s="379"/>
      <c r="G260" s="272"/>
      <c r="H260" s="272"/>
      <c r="I260" s="272"/>
      <c r="J260" s="272"/>
      <c r="K260" s="272"/>
      <c r="L260" s="272"/>
      <c r="M260" s="523"/>
      <c r="N260" s="272"/>
      <c r="O260" s="272"/>
      <c r="P260" s="272"/>
      <c r="Q260" s="272"/>
      <c r="R260" s="272"/>
      <c r="S260" s="272"/>
      <c r="T260" s="272"/>
      <c r="U260" s="272"/>
      <c r="V260" s="272"/>
      <c r="W260" s="272"/>
      <c r="X260" s="272"/>
      <c r="Y260" s="272"/>
      <c r="Z260" s="272"/>
      <c r="AA260" s="272"/>
      <c r="AB260" s="272"/>
      <c r="AC260" s="272"/>
      <c r="AD260" s="272"/>
      <c r="AE260" s="272"/>
      <c r="AF260" s="272"/>
    </row>
    <row r="261" spans="1:32" ht="122.4" customHeight="1" thickBot="1" x14ac:dyDescent="0.45">
      <c r="A261" s="272"/>
      <c r="B261" s="272"/>
      <c r="C261" s="272"/>
      <c r="D261" s="650"/>
      <c r="E261" s="272"/>
      <c r="F261" s="379"/>
      <c r="G261" s="272"/>
      <c r="H261" s="272"/>
      <c r="I261" s="272"/>
      <c r="J261" s="272"/>
      <c r="K261" s="272"/>
      <c r="L261" s="272"/>
      <c r="M261" s="523"/>
      <c r="N261" s="272"/>
      <c r="O261" s="272"/>
      <c r="P261" s="272"/>
      <c r="Q261" s="272"/>
      <c r="R261" s="272"/>
      <c r="S261" s="272"/>
      <c r="T261" s="272"/>
      <c r="U261" s="272"/>
      <c r="V261" s="272"/>
      <c r="W261" s="272"/>
      <c r="X261" s="272"/>
      <c r="Y261" s="272"/>
      <c r="Z261" s="272"/>
      <c r="AA261" s="272"/>
      <c r="AB261" s="272"/>
      <c r="AC261" s="272"/>
      <c r="AD261" s="272"/>
      <c r="AE261" s="272"/>
      <c r="AF261" s="272"/>
    </row>
    <row r="262" spans="1:32" ht="122.4" customHeight="1" thickBot="1" x14ac:dyDescent="0.45">
      <c r="A262" s="272"/>
      <c r="B262" s="272"/>
      <c r="C262" s="272"/>
      <c r="D262" s="650"/>
      <c r="E262" s="272"/>
      <c r="F262" s="379"/>
      <c r="G262" s="272"/>
      <c r="H262" s="272"/>
      <c r="I262" s="272"/>
      <c r="J262" s="272"/>
      <c r="K262" s="272"/>
      <c r="L262" s="272"/>
      <c r="M262" s="523"/>
      <c r="N262" s="272"/>
      <c r="O262" s="272"/>
      <c r="P262" s="272"/>
      <c r="Q262" s="272"/>
      <c r="R262" s="272"/>
      <c r="S262" s="272"/>
      <c r="T262" s="272"/>
      <c r="U262" s="272"/>
      <c r="V262" s="272"/>
      <c r="W262" s="272"/>
      <c r="X262" s="272"/>
      <c r="Y262" s="272"/>
      <c r="Z262" s="272"/>
      <c r="AA262" s="272"/>
      <c r="AB262" s="272"/>
      <c r="AC262" s="272"/>
      <c r="AD262" s="272"/>
      <c r="AE262" s="272"/>
      <c r="AF262" s="272"/>
    </row>
    <row r="263" spans="1:32" ht="122.4" customHeight="1" thickBot="1" x14ac:dyDescent="0.45">
      <c r="A263" s="272"/>
      <c r="B263" s="272"/>
      <c r="C263" s="272"/>
      <c r="D263" s="650"/>
      <c r="E263" s="272"/>
      <c r="F263" s="379"/>
      <c r="G263" s="272"/>
      <c r="H263" s="272"/>
      <c r="I263" s="272"/>
      <c r="J263" s="272"/>
      <c r="K263" s="272"/>
      <c r="L263" s="272"/>
      <c r="M263" s="523"/>
      <c r="N263" s="272"/>
      <c r="O263" s="272"/>
      <c r="P263" s="272"/>
      <c r="Q263" s="272"/>
      <c r="R263" s="272"/>
      <c r="S263" s="272"/>
      <c r="T263" s="272"/>
      <c r="U263" s="272"/>
      <c r="V263" s="272"/>
      <c r="W263" s="272"/>
      <c r="X263" s="272"/>
      <c r="Y263" s="272"/>
      <c r="Z263" s="272"/>
      <c r="AA263" s="272"/>
      <c r="AB263" s="272"/>
      <c r="AC263" s="272"/>
      <c r="AD263" s="272"/>
      <c r="AE263" s="272"/>
      <c r="AF263" s="272"/>
    </row>
    <row r="264" spans="1:32" ht="122.4" customHeight="1" thickBot="1" x14ac:dyDescent="0.45">
      <c r="A264" s="272"/>
      <c r="B264" s="272"/>
      <c r="C264" s="272"/>
      <c r="D264" s="650"/>
      <c r="E264" s="272"/>
      <c r="F264" s="379"/>
      <c r="G264" s="272"/>
      <c r="H264" s="272"/>
      <c r="I264" s="272"/>
      <c r="J264" s="272"/>
      <c r="K264" s="272"/>
      <c r="L264" s="272"/>
      <c r="M264" s="523"/>
      <c r="N264" s="272"/>
      <c r="O264" s="272"/>
      <c r="P264" s="272"/>
      <c r="Q264" s="272"/>
      <c r="R264" s="272"/>
      <c r="S264" s="272"/>
      <c r="T264" s="272"/>
      <c r="U264" s="272"/>
      <c r="V264" s="272"/>
      <c r="W264" s="272"/>
      <c r="X264" s="272"/>
      <c r="Y264" s="272"/>
      <c r="Z264" s="272"/>
      <c r="AA264" s="272"/>
      <c r="AB264" s="272"/>
      <c r="AC264" s="272"/>
      <c r="AD264" s="272"/>
      <c r="AE264" s="272"/>
      <c r="AF264" s="272"/>
    </row>
    <row r="265" spans="1:32" ht="122.4" customHeight="1" thickBot="1" x14ac:dyDescent="0.45">
      <c r="A265" s="272"/>
      <c r="B265" s="272"/>
      <c r="C265" s="272"/>
      <c r="D265" s="650"/>
      <c r="E265" s="272"/>
      <c r="F265" s="379"/>
      <c r="G265" s="272"/>
      <c r="H265" s="272"/>
      <c r="I265" s="272"/>
      <c r="J265" s="272"/>
      <c r="K265" s="272"/>
      <c r="L265" s="272"/>
      <c r="M265" s="523"/>
      <c r="N265" s="272"/>
      <c r="O265" s="272"/>
      <c r="P265" s="272"/>
      <c r="Q265" s="272"/>
      <c r="R265" s="272"/>
      <c r="S265" s="272"/>
      <c r="T265" s="272"/>
      <c r="U265" s="272"/>
      <c r="V265" s="272"/>
      <c r="W265" s="272"/>
      <c r="X265" s="272"/>
      <c r="Y265" s="272"/>
      <c r="Z265" s="272"/>
      <c r="AA265" s="272"/>
      <c r="AB265" s="272"/>
      <c r="AC265" s="272"/>
      <c r="AD265" s="272"/>
      <c r="AE265" s="272"/>
      <c r="AF265" s="272"/>
    </row>
    <row r="266" spans="1:32" ht="122.4" customHeight="1" thickBot="1" x14ac:dyDescent="0.45">
      <c r="A266" s="272"/>
      <c r="B266" s="272"/>
      <c r="C266" s="272"/>
      <c r="D266" s="650"/>
      <c r="E266" s="272"/>
      <c r="F266" s="379"/>
      <c r="G266" s="272"/>
      <c r="H266" s="272"/>
      <c r="I266" s="272"/>
      <c r="J266" s="272"/>
      <c r="K266" s="272"/>
      <c r="L266" s="272"/>
      <c r="M266" s="523"/>
      <c r="N266" s="272"/>
      <c r="O266" s="272"/>
      <c r="P266" s="272"/>
      <c r="Q266" s="272"/>
      <c r="R266" s="272"/>
      <c r="S266" s="272"/>
      <c r="T266" s="272"/>
      <c r="U266" s="272"/>
      <c r="V266" s="272"/>
      <c r="W266" s="272"/>
      <c r="X266" s="272"/>
      <c r="Y266" s="272"/>
      <c r="Z266" s="272"/>
      <c r="AA266" s="272"/>
      <c r="AB266" s="272"/>
      <c r="AC266" s="272"/>
      <c r="AD266" s="272"/>
      <c r="AE266" s="272"/>
      <c r="AF266" s="272"/>
    </row>
    <row r="267" spans="1:32" ht="122.4" customHeight="1" thickBot="1" x14ac:dyDescent="0.45">
      <c r="A267" s="272"/>
      <c r="B267" s="272"/>
      <c r="C267" s="272"/>
      <c r="D267" s="650"/>
      <c r="E267" s="272"/>
      <c r="F267" s="379"/>
      <c r="G267" s="272"/>
      <c r="H267" s="272"/>
      <c r="I267" s="272"/>
      <c r="J267" s="272"/>
      <c r="K267" s="272"/>
      <c r="L267" s="272"/>
      <c r="M267" s="523"/>
      <c r="N267" s="272"/>
      <c r="O267" s="272"/>
      <c r="P267" s="272"/>
      <c r="Q267" s="272"/>
      <c r="R267" s="272"/>
      <c r="S267" s="272"/>
      <c r="T267" s="272"/>
      <c r="U267" s="272"/>
      <c r="V267" s="272"/>
      <c r="W267" s="272"/>
      <c r="X267" s="272"/>
      <c r="Y267" s="272"/>
      <c r="Z267" s="272"/>
      <c r="AA267" s="272"/>
      <c r="AB267" s="272"/>
      <c r="AC267" s="272"/>
      <c r="AD267" s="272"/>
      <c r="AE267" s="272"/>
      <c r="AF267" s="272"/>
    </row>
    <row r="268" spans="1:32" ht="122.4" customHeight="1" thickBot="1" x14ac:dyDescent="0.45">
      <c r="A268" s="272"/>
      <c r="B268" s="272"/>
      <c r="C268" s="272"/>
      <c r="D268" s="650"/>
      <c r="E268" s="272"/>
      <c r="F268" s="379"/>
      <c r="G268" s="272"/>
      <c r="H268" s="272"/>
      <c r="I268" s="272"/>
      <c r="J268" s="272"/>
      <c r="K268" s="272"/>
      <c r="L268" s="272"/>
      <c r="M268" s="523"/>
      <c r="N268" s="272"/>
      <c r="O268" s="272"/>
      <c r="P268" s="272"/>
      <c r="Q268" s="272"/>
      <c r="R268" s="272"/>
      <c r="S268" s="272"/>
      <c r="T268" s="272"/>
      <c r="U268" s="272"/>
      <c r="V268" s="272"/>
      <c r="W268" s="272"/>
      <c r="X268" s="272"/>
      <c r="Y268" s="272"/>
      <c r="Z268" s="272"/>
      <c r="AA268" s="272"/>
      <c r="AB268" s="272"/>
      <c r="AC268" s="272"/>
      <c r="AD268" s="272"/>
      <c r="AE268" s="272"/>
      <c r="AF268" s="272"/>
    </row>
    <row r="269" spans="1:32" ht="122.4" customHeight="1" thickBot="1" x14ac:dyDescent="0.45">
      <c r="A269" s="272"/>
      <c r="B269" s="272"/>
      <c r="C269" s="272"/>
      <c r="D269" s="650"/>
      <c r="E269" s="272"/>
      <c r="F269" s="379"/>
      <c r="G269" s="272"/>
      <c r="H269" s="272"/>
      <c r="I269" s="272"/>
      <c r="J269" s="272"/>
      <c r="K269" s="272"/>
      <c r="L269" s="272"/>
      <c r="M269" s="523"/>
      <c r="N269" s="272"/>
      <c r="O269" s="272"/>
      <c r="P269" s="272"/>
      <c r="Q269" s="272"/>
      <c r="R269" s="272"/>
      <c r="S269" s="272"/>
      <c r="T269" s="272"/>
      <c r="U269" s="272"/>
      <c r="V269" s="272"/>
      <c r="W269" s="272"/>
      <c r="X269" s="272"/>
      <c r="Y269" s="272"/>
      <c r="Z269" s="272"/>
      <c r="AA269" s="272"/>
      <c r="AB269" s="272"/>
      <c r="AC269" s="272"/>
      <c r="AD269" s="272"/>
      <c r="AE269" s="272"/>
      <c r="AF269" s="272"/>
    </row>
    <row r="270" spans="1:32" ht="122.4" customHeight="1" thickBot="1" x14ac:dyDescent="0.45">
      <c r="A270" s="272"/>
      <c r="B270" s="272"/>
      <c r="C270" s="272"/>
      <c r="D270" s="650"/>
      <c r="E270" s="272"/>
      <c r="F270" s="379"/>
      <c r="G270" s="272"/>
      <c r="H270" s="272"/>
      <c r="I270" s="272"/>
      <c r="J270" s="272"/>
      <c r="K270" s="272"/>
      <c r="L270" s="272"/>
      <c r="M270" s="523"/>
      <c r="N270" s="272"/>
      <c r="O270" s="272"/>
      <c r="P270" s="272"/>
      <c r="Q270" s="272"/>
      <c r="R270" s="272"/>
      <c r="S270" s="272"/>
      <c r="T270" s="272"/>
      <c r="U270" s="272"/>
      <c r="V270" s="272"/>
      <c r="W270" s="272"/>
      <c r="X270" s="272"/>
      <c r="Y270" s="272"/>
      <c r="Z270" s="272"/>
      <c r="AA270" s="272"/>
      <c r="AB270" s="272"/>
      <c r="AC270" s="272"/>
      <c r="AD270" s="272"/>
      <c r="AE270" s="272"/>
      <c r="AF270" s="272"/>
    </row>
    <row r="271" spans="1:32" ht="122.4" customHeight="1" thickBot="1" x14ac:dyDescent="0.45">
      <c r="A271" s="272"/>
      <c r="B271" s="272"/>
      <c r="C271" s="272"/>
      <c r="D271" s="650"/>
      <c r="E271" s="272"/>
      <c r="F271" s="379"/>
      <c r="G271" s="272"/>
      <c r="H271" s="272"/>
      <c r="I271" s="272"/>
      <c r="J271" s="272"/>
      <c r="K271" s="272"/>
      <c r="L271" s="272"/>
      <c r="M271" s="523"/>
      <c r="N271" s="272"/>
      <c r="O271" s="272"/>
      <c r="P271" s="272"/>
      <c r="Q271" s="272"/>
      <c r="R271" s="272"/>
      <c r="S271" s="272"/>
      <c r="T271" s="272"/>
      <c r="U271" s="272"/>
      <c r="V271" s="272"/>
      <c r="W271" s="272"/>
      <c r="X271" s="272"/>
      <c r="Y271" s="272"/>
      <c r="Z271" s="272"/>
      <c r="AA271" s="272"/>
      <c r="AB271" s="272"/>
      <c r="AC271" s="272"/>
      <c r="AD271" s="272"/>
      <c r="AE271" s="272"/>
      <c r="AF271" s="272"/>
    </row>
    <row r="272" spans="1:32" ht="122.4" customHeight="1" thickBot="1" x14ac:dyDescent="0.45">
      <c r="A272" s="272"/>
      <c r="B272" s="272"/>
      <c r="C272" s="272"/>
      <c r="D272" s="650"/>
      <c r="E272" s="272"/>
      <c r="F272" s="379"/>
      <c r="G272" s="272"/>
      <c r="H272" s="272"/>
      <c r="I272" s="272"/>
      <c r="J272" s="272"/>
      <c r="K272" s="272"/>
      <c r="L272" s="272"/>
      <c r="M272" s="523"/>
      <c r="N272" s="272"/>
      <c r="O272" s="272"/>
      <c r="P272" s="272"/>
      <c r="Q272" s="272"/>
      <c r="R272" s="272"/>
      <c r="S272" s="272"/>
      <c r="T272" s="272"/>
      <c r="U272" s="272"/>
      <c r="V272" s="272"/>
      <c r="W272" s="272"/>
      <c r="X272" s="272"/>
      <c r="Y272" s="272"/>
      <c r="Z272" s="272"/>
      <c r="AA272" s="272"/>
      <c r="AB272" s="272"/>
      <c r="AC272" s="272"/>
      <c r="AD272" s="272"/>
      <c r="AE272" s="272"/>
      <c r="AF272" s="272"/>
    </row>
    <row r="273" spans="1:32" ht="122.4" customHeight="1" thickBot="1" x14ac:dyDescent="0.45">
      <c r="A273" s="272"/>
      <c r="B273" s="272"/>
      <c r="C273" s="272"/>
      <c r="D273" s="650"/>
      <c r="E273" s="272"/>
      <c r="F273" s="379"/>
      <c r="G273" s="272"/>
      <c r="H273" s="272"/>
      <c r="I273" s="272"/>
      <c r="J273" s="272"/>
      <c r="K273" s="272"/>
      <c r="L273" s="272"/>
      <c r="M273" s="523"/>
      <c r="N273" s="272"/>
      <c r="O273" s="272"/>
      <c r="P273" s="272"/>
      <c r="Q273" s="272"/>
      <c r="R273" s="272"/>
      <c r="S273" s="272"/>
      <c r="T273" s="272"/>
      <c r="U273" s="272"/>
      <c r="V273" s="272"/>
      <c r="W273" s="272"/>
      <c r="X273" s="272"/>
      <c r="Y273" s="272"/>
      <c r="Z273" s="272"/>
      <c r="AA273" s="272"/>
      <c r="AB273" s="272"/>
      <c r="AC273" s="272"/>
      <c r="AD273" s="272"/>
      <c r="AE273" s="272"/>
      <c r="AF273" s="272"/>
    </row>
    <row r="274" spans="1:32" ht="122.4" customHeight="1" thickBot="1" x14ac:dyDescent="0.45">
      <c r="A274" s="272"/>
      <c r="B274" s="272"/>
      <c r="C274" s="272"/>
      <c r="D274" s="650"/>
      <c r="E274" s="272"/>
      <c r="F274" s="379"/>
      <c r="G274" s="272"/>
      <c r="H274" s="272"/>
      <c r="I274" s="272"/>
      <c r="J274" s="272"/>
      <c r="K274" s="272"/>
      <c r="L274" s="272"/>
      <c r="M274" s="523"/>
      <c r="N274" s="272"/>
      <c r="O274" s="272"/>
      <c r="P274" s="272"/>
      <c r="Q274" s="272"/>
      <c r="R274" s="272"/>
      <c r="S274" s="272"/>
      <c r="T274" s="272"/>
      <c r="U274" s="272"/>
      <c r="V274" s="272"/>
      <c r="W274" s="272"/>
      <c r="X274" s="272"/>
      <c r="Y274" s="272"/>
      <c r="Z274" s="272"/>
      <c r="AA274" s="272"/>
      <c r="AB274" s="272"/>
      <c r="AC274" s="272"/>
      <c r="AD274" s="272"/>
      <c r="AE274" s="272"/>
      <c r="AF274" s="272"/>
    </row>
    <row r="275" spans="1:32" ht="122.4" customHeight="1" thickBot="1" x14ac:dyDescent="0.45">
      <c r="A275" s="272"/>
      <c r="B275" s="272"/>
      <c r="C275" s="272"/>
      <c r="D275" s="650"/>
      <c r="E275" s="272"/>
      <c r="F275" s="379"/>
      <c r="G275" s="272"/>
      <c r="H275" s="272"/>
      <c r="I275" s="272"/>
      <c r="J275" s="272"/>
      <c r="K275" s="272"/>
      <c r="L275" s="272"/>
      <c r="M275" s="523"/>
      <c r="N275" s="272"/>
      <c r="O275" s="272"/>
      <c r="P275" s="272"/>
      <c r="Q275" s="272"/>
      <c r="R275" s="272"/>
      <c r="S275" s="272"/>
      <c r="T275" s="272"/>
      <c r="U275" s="272"/>
      <c r="V275" s="272"/>
      <c r="W275" s="272"/>
      <c r="X275" s="272"/>
      <c r="Y275" s="272"/>
      <c r="Z275" s="272"/>
      <c r="AA275" s="272"/>
      <c r="AB275" s="272"/>
      <c r="AC275" s="272"/>
      <c r="AD275" s="272"/>
      <c r="AE275" s="272"/>
      <c r="AF275" s="272"/>
    </row>
    <row r="276" spans="1:32" ht="122.4" customHeight="1" thickBot="1" x14ac:dyDescent="0.45">
      <c r="A276" s="272"/>
      <c r="B276" s="272"/>
      <c r="C276" s="272"/>
      <c r="D276" s="650"/>
      <c r="E276" s="272"/>
      <c r="F276" s="379"/>
      <c r="G276" s="272"/>
      <c r="H276" s="272"/>
      <c r="I276" s="272"/>
      <c r="J276" s="272"/>
      <c r="K276" s="272"/>
      <c r="L276" s="272"/>
      <c r="M276" s="523"/>
      <c r="N276" s="272"/>
      <c r="O276" s="272"/>
      <c r="P276" s="272"/>
      <c r="Q276" s="272"/>
      <c r="R276" s="272"/>
      <c r="S276" s="272"/>
      <c r="T276" s="272"/>
      <c r="U276" s="272"/>
      <c r="V276" s="272"/>
      <c r="W276" s="272"/>
      <c r="X276" s="272"/>
      <c r="Y276" s="272"/>
      <c r="Z276" s="272"/>
      <c r="AA276" s="272"/>
      <c r="AB276" s="272"/>
      <c r="AC276" s="272"/>
      <c r="AD276" s="272"/>
      <c r="AE276" s="272"/>
      <c r="AF276" s="272"/>
    </row>
    <row r="277" spans="1:32" ht="122.4" customHeight="1" thickBot="1" x14ac:dyDescent="0.45">
      <c r="A277" s="272"/>
      <c r="B277" s="272"/>
      <c r="C277" s="272"/>
      <c r="D277" s="650"/>
      <c r="E277" s="272"/>
      <c r="F277" s="379"/>
      <c r="G277" s="272"/>
      <c r="H277" s="272"/>
      <c r="I277" s="272"/>
      <c r="J277" s="272"/>
      <c r="K277" s="272"/>
      <c r="L277" s="272"/>
      <c r="M277" s="523"/>
      <c r="N277" s="272"/>
      <c r="O277" s="272"/>
      <c r="P277" s="272"/>
      <c r="Q277" s="272"/>
      <c r="R277" s="272"/>
      <c r="S277" s="272"/>
      <c r="T277" s="272"/>
      <c r="U277" s="272"/>
      <c r="V277" s="272"/>
      <c r="W277" s="272"/>
      <c r="X277" s="272"/>
      <c r="Y277" s="272"/>
      <c r="Z277" s="272"/>
      <c r="AA277" s="272"/>
      <c r="AB277" s="272"/>
      <c r="AC277" s="272"/>
      <c r="AD277" s="272"/>
      <c r="AE277" s="272"/>
      <c r="AF277" s="272"/>
    </row>
    <row r="278" spans="1:32" ht="122.4" customHeight="1" thickBot="1" x14ac:dyDescent="0.45">
      <c r="A278" s="272"/>
      <c r="B278" s="272"/>
      <c r="C278" s="272"/>
      <c r="D278" s="650"/>
      <c r="E278" s="272"/>
      <c r="F278" s="379"/>
      <c r="G278" s="272"/>
      <c r="H278" s="272"/>
      <c r="I278" s="272"/>
      <c r="J278" s="272"/>
      <c r="K278" s="272"/>
      <c r="L278" s="272"/>
      <c r="M278" s="523"/>
      <c r="N278" s="272"/>
      <c r="O278" s="272"/>
      <c r="P278" s="272"/>
      <c r="Q278" s="272"/>
      <c r="R278" s="272"/>
      <c r="S278" s="272"/>
      <c r="T278" s="272"/>
      <c r="U278" s="272"/>
      <c r="V278" s="272"/>
      <c r="W278" s="272"/>
      <c r="X278" s="272"/>
      <c r="Y278" s="272"/>
      <c r="Z278" s="272"/>
      <c r="AA278" s="272"/>
      <c r="AB278" s="272"/>
      <c r="AC278" s="272"/>
      <c r="AD278" s="272"/>
      <c r="AE278" s="272"/>
      <c r="AF278" s="272"/>
    </row>
    <row r="279" spans="1:32" ht="122.4" customHeight="1" thickBot="1" x14ac:dyDescent="0.45">
      <c r="A279" s="272"/>
      <c r="B279" s="272"/>
      <c r="C279" s="272"/>
      <c r="D279" s="650"/>
      <c r="E279" s="272"/>
      <c r="F279" s="379"/>
      <c r="G279" s="272"/>
      <c r="H279" s="272"/>
      <c r="I279" s="272"/>
      <c r="J279" s="272"/>
      <c r="K279" s="272"/>
      <c r="L279" s="272"/>
      <c r="M279" s="523"/>
      <c r="N279" s="272"/>
      <c r="O279" s="272"/>
      <c r="P279" s="272"/>
      <c r="Q279" s="272"/>
      <c r="R279" s="272"/>
      <c r="S279" s="272"/>
      <c r="T279" s="272"/>
      <c r="U279" s="272"/>
      <c r="V279" s="272"/>
      <c r="W279" s="272"/>
      <c r="X279" s="272"/>
      <c r="Y279" s="272"/>
      <c r="Z279" s="272"/>
      <c r="AA279" s="272"/>
      <c r="AB279" s="272"/>
      <c r="AC279" s="272"/>
      <c r="AD279" s="272"/>
      <c r="AE279" s="272"/>
      <c r="AF279" s="272"/>
    </row>
    <row r="280" spans="1:32" ht="122.4" customHeight="1" thickBot="1" x14ac:dyDescent="0.45">
      <c r="A280" s="272"/>
      <c r="B280" s="272"/>
      <c r="C280" s="272"/>
      <c r="D280" s="650"/>
      <c r="E280" s="272"/>
      <c r="F280" s="379"/>
      <c r="G280" s="272"/>
      <c r="H280" s="272"/>
      <c r="I280" s="272"/>
      <c r="J280" s="272"/>
      <c r="K280" s="272"/>
      <c r="L280" s="272"/>
      <c r="M280" s="523"/>
      <c r="N280" s="272"/>
      <c r="O280" s="272"/>
      <c r="P280" s="272"/>
      <c r="Q280" s="272"/>
      <c r="R280" s="272"/>
      <c r="S280" s="272"/>
      <c r="T280" s="272"/>
      <c r="U280" s="272"/>
      <c r="V280" s="272"/>
      <c r="W280" s="272"/>
      <c r="X280" s="272"/>
      <c r="Y280" s="272"/>
      <c r="Z280" s="272"/>
      <c r="AA280" s="272"/>
      <c r="AB280" s="272"/>
      <c r="AC280" s="272"/>
      <c r="AD280" s="272"/>
      <c r="AE280" s="272"/>
      <c r="AF280" s="272"/>
    </row>
    <row r="281" spans="1:32" ht="122.4" customHeight="1" thickBot="1" x14ac:dyDescent="0.45">
      <c r="A281" s="272"/>
      <c r="B281" s="272"/>
      <c r="C281" s="272"/>
      <c r="D281" s="650"/>
      <c r="E281" s="272"/>
      <c r="F281" s="379"/>
      <c r="G281" s="272"/>
      <c r="H281" s="272"/>
      <c r="I281" s="272"/>
      <c r="J281" s="272"/>
      <c r="K281" s="272"/>
      <c r="L281" s="272"/>
      <c r="M281" s="523"/>
      <c r="N281" s="272"/>
      <c r="O281" s="272"/>
      <c r="P281" s="272"/>
      <c r="Q281" s="272"/>
      <c r="R281" s="272"/>
      <c r="S281" s="272"/>
      <c r="T281" s="272"/>
      <c r="U281" s="272"/>
      <c r="V281" s="272"/>
      <c r="W281" s="272"/>
      <c r="X281" s="272"/>
      <c r="Y281" s="272"/>
      <c r="Z281" s="272"/>
      <c r="AA281" s="272"/>
      <c r="AB281" s="272"/>
      <c r="AC281" s="272"/>
      <c r="AD281" s="272"/>
      <c r="AE281" s="272"/>
      <c r="AF281" s="272"/>
    </row>
    <row r="282" spans="1:32" ht="122.4" customHeight="1" thickBot="1" x14ac:dyDescent="0.45">
      <c r="A282" s="272"/>
      <c r="B282" s="272"/>
      <c r="C282" s="272"/>
      <c r="D282" s="650"/>
      <c r="E282" s="272"/>
      <c r="F282" s="379"/>
      <c r="G282" s="272"/>
      <c r="H282" s="272"/>
      <c r="I282" s="272"/>
      <c r="J282" s="272"/>
      <c r="K282" s="272"/>
      <c r="L282" s="272"/>
      <c r="M282" s="523"/>
      <c r="N282" s="272"/>
      <c r="O282" s="272"/>
      <c r="P282" s="272"/>
      <c r="Q282" s="272"/>
      <c r="R282" s="272"/>
      <c r="S282" s="272"/>
      <c r="T282" s="272"/>
      <c r="U282" s="272"/>
      <c r="V282" s="272"/>
      <c r="W282" s="272"/>
      <c r="X282" s="272"/>
      <c r="Y282" s="272"/>
      <c r="Z282" s="272"/>
      <c r="AA282" s="272"/>
      <c r="AB282" s="272"/>
      <c r="AC282" s="272"/>
      <c r="AD282" s="272"/>
      <c r="AE282" s="272"/>
      <c r="AF282" s="272"/>
    </row>
    <row r="283" spans="1:32" ht="122.4" customHeight="1" thickBot="1" x14ac:dyDescent="0.45">
      <c r="A283" s="272"/>
      <c r="B283" s="272"/>
      <c r="C283" s="272"/>
      <c r="D283" s="650"/>
      <c r="E283" s="272"/>
      <c r="F283" s="379"/>
      <c r="G283" s="272"/>
      <c r="H283" s="272"/>
      <c r="I283" s="272"/>
      <c r="J283" s="272"/>
      <c r="K283" s="272"/>
      <c r="L283" s="272"/>
      <c r="M283" s="523"/>
      <c r="N283" s="272"/>
      <c r="O283" s="272"/>
      <c r="P283" s="272"/>
      <c r="Q283" s="272"/>
      <c r="R283" s="272"/>
      <c r="S283" s="272"/>
      <c r="T283" s="272"/>
      <c r="U283" s="272"/>
      <c r="V283" s="272"/>
      <c r="W283" s="272"/>
      <c r="X283" s="272"/>
      <c r="Y283" s="272"/>
      <c r="Z283" s="272"/>
      <c r="AA283" s="272"/>
      <c r="AB283" s="272"/>
      <c r="AC283" s="272"/>
      <c r="AD283" s="272"/>
      <c r="AE283" s="272"/>
      <c r="AF283" s="272"/>
    </row>
    <row r="284" spans="1:32" ht="122.4" customHeight="1" thickBot="1" x14ac:dyDescent="0.45">
      <c r="A284" s="272"/>
      <c r="B284" s="272"/>
      <c r="C284" s="272"/>
      <c r="D284" s="650"/>
      <c r="E284" s="272"/>
      <c r="F284" s="379"/>
      <c r="G284" s="272"/>
      <c r="H284" s="272"/>
      <c r="I284" s="272"/>
      <c r="J284" s="272"/>
      <c r="K284" s="272"/>
      <c r="L284" s="272"/>
      <c r="M284" s="523"/>
      <c r="N284" s="272"/>
      <c r="O284" s="272"/>
      <c r="P284" s="272"/>
      <c r="Q284" s="272"/>
      <c r="R284" s="272"/>
      <c r="S284" s="272"/>
      <c r="T284" s="272"/>
      <c r="U284" s="272"/>
      <c r="V284" s="272"/>
      <c r="W284" s="272"/>
      <c r="X284" s="272"/>
      <c r="Y284" s="272"/>
      <c r="Z284" s="272"/>
      <c r="AA284" s="272"/>
      <c r="AB284" s="272"/>
      <c r="AC284" s="272"/>
      <c r="AD284" s="272"/>
      <c r="AE284" s="272"/>
      <c r="AF284" s="272"/>
    </row>
    <row r="285" spans="1:32" ht="122.4" customHeight="1" thickBot="1" x14ac:dyDescent="0.45">
      <c r="A285" s="272"/>
      <c r="B285" s="272"/>
      <c r="C285" s="272"/>
      <c r="D285" s="650"/>
      <c r="E285" s="272"/>
      <c r="F285" s="379"/>
      <c r="G285" s="272"/>
      <c r="H285" s="272"/>
      <c r="I285" s="272"/>
      <c r="J285" s="272"/>
      <c r="K285" s="272"/>
      <c r="L285" s="272"/>
      <c r="M285" s="523"/>
      <c r="N285" s="272"/>
      <c r="O285" s="272"/>
      <c r="P285" s="272"/>
      <c r="Q285" s="272"/>
      <c r="R285" s="272"/>
      <c r="S285" s="272"/>
      <c r="T285" s="272"/>
      <c r="U285" s="272"/>
      <c r="V285" s="272"/>
      <c r="W285" s="272"/>
      <c r="X285" s="272"/>
      <c r="Y285" s="272"/>
      <c r="Z285" s="272"/>
      <c r="AA285" s="272"/>
      <c r="AB285" s="272"/>
      <c r="AC285" s="272"/>
      <c r="AD285" s="272"/>
      <c r="AE285" s="272"/>
      <c r="AF285" s="272"/>
    </row>
    <row r="286" spans="1:32" ht="122.4" customHeight="1" thickBot="1" x14ac:dyDescent="0.45">
      <c r="A286" s="272"/>
      <c r="B286" s="272"/>
      <c r="C286" s="272"/>
      <c r="D286" s="650"/>
      <c r="E286" s="272"/>
      <c r="F286" s="379"/>
      <c r="G286" s="272"/>
      <c r="H286" s="272"/>
      <c r="I286" s="272"/>
      <c r="J286" s="272"/>
      <c r="K286" s="272"/>
      <c r="L286" s="272"/>
      <c r="M286" s="523"/>
      <c r="N286" s="272"/>
      <c r="O286" s="272"/>
      <c r="P286" s="272"/>
      <c r="Q286" s="272"/>
      <c r="R286" s="272"/>
      <c r="S286" s="272"/>
      <c r="T286" s="272"/>
      <c r="U286" s="272"/>
      <c r="V286" s="272"/>
      <c r="W286" s="272"/>
      <c r="X286" s="272"/>
      <c r="Y286" s="272"/>
      <c r="Z286" s="272"/>
      <c r="AA286" s="272"/>
      <c r="AB286" s="272"/>
      <c r="AC286" s="272"/>
      <c r="AD286" s="272"/>
      <c r="AE286" s="272"/>
      <c r="AF286" s="272"/>
    </row>
    <row r="287" spans="1:32" ht="122.4" customHeight="1" thickBot="1" x14ac:dyDescent="0.45">
      <c r="A287" s="272"/>
      <c r="B287" s="272"/>
      <c r="C287" s="272"/>
      <c r="D287" s="650"/>
      <c r="E287" s="272"/>
      <c r="F287" s="379"/>
      <c r="G287" s="272"/>
      <c r="H287" s="272"/>
      <c r="I287" s="272"/>
      <c r="J287" s="272"/>
      <c r="K287" s="272"/>
      <c r="L287" s="272"/>
      <c r="M287" s="523"/>
      <c r="N287" s="272"/>
      <c r="O287" s="272"/>
      <c r="P287" s="272"/>
      <c r="Q287" s="272"/>
      <c r="R287" s="272"/>
      <c r="S287" s="272"/>
      <c r="T287" s="272"/>
      <c r="U287" s="272"/>
      <c r="V287" s="272"/>
      <c r="W287" s="272"/>
      <c r="X287" s="272"/>
      <c r="Y287" s="272"/>
      <c r="Z287" s="272"/>
      <c r="AA287" s="272"/>
      <c r="AB287" s="272"/>
      <c r="AC287" s="272"/>
      <c r="AD287" s="272"/>
      <c r="AE287" s="272"/>
      <c r="AF287" s="272"/>
    </row>
    <row r="288" spans="1:32" ht="122.4" customHeight="1" thickBot="1" x14ac:dyDescent="0.45">
      <c r="A288" s="272"/>
      <c r="B288" s="272"/>
      <c r="C288" s="272"/>
      <c r="D288" s="650"/>
      <c r="E288" s="272"/>
      <c r="F288" s="379"/>
      <c r="G288" s="272"/>
      <c r="H288" s="272"/>
      <c r="I288" s="272"/>
      <c r="J288" s="272"/>
      <c r="K288" s="272"/>
      <c r="L288" s="272"/>
      <c r="M288" s="523"/>
      <c r="N288" s="272"/>
      <c r="O288" s="272"/>
      <c r="P288" s="272"/>
      <c r="Q288" s="272"/>
      <c r="R288" s="272"/>
      <c r="S288" s="272"/>
      <c r="T288" s="272"/>
      <c r="U288" s="272"/>
      <c r="V288" s="272"/>
      <c r="W288" s="272"/>
      <c r="X288" s="272"/>
      <c r="Y288" s="272"/>
      <c r="Z288" s="272"/>
      <c r="AA288" s="272"/>
      <c r="AB288" s="272"/>
      <c r="AC288" s="272"/>
      <c r="AD288" s="272"/>
      <c r="AE288" s="272"/>
      <c r="AF288" s="272"/>
    </row>
    <row r="289" spans="1:32" ht="122.4" customHeight="1" thickBot="1" x14ac:dyDescent="0.45">
      <c r="A289" s="272"/>
      <c r="B289" s="272"/>
      <c r="C289" s="272"/>
      <c r="D289" s="650"/>
      <c r="E289" s="272"/>
      <c r="F289" s="379"/>
      <c r="G289" s="272"/>
      <c r="H289" s="272"/>
      <c r="I289" s="272"/>
      <c r="J289" s="272"/>
      <c r="K289" s="272"/>
      <c r="L289" s="272"/>
      <c r="M289" s="523"/>
      <c r="N289" s="272"/>
      <c r="O289" s="272"/>
      <c r="P289" s="272"/>
      <c r="Q289" s="272"/>
      <c r="R289" s="272"/>
      <c r="S289" s="272"/>
      <c r="T289" s="272"/>
      <c r="U289" s="272"/>
      <c r="V289" s="272"/>
      <c r="W289" s="272"/>
      <c r="X289" s="272"/>
      <c r="Y289" s="272"/>
      <c r="Z289" s="272"/>
      <c r="AA289" s="272"/>
      <c r="AB289" s="272"/>
      <c r="AC289" s="272"/>
      <c r="AD289" s="272"/>
      <c r="AE289" s="272"/>
      <c r="AF289" s="272"/>
    </row>
    <row r="290" spans="1:32" ht="122.4" customHeight="1" thickBot="1" x14ac:dyDescent="0.45">
      <c r="A290" s="272"/>
      <c r="B290" s="272"/>
      <c r="C290" s="272"/>
      <c r="D290" s="650"/>
      <c r="E290" s="272"/>
      <c r="F290" s="379"/>
      <c r="G290" s="272"/>
      <c r="H290" s="272"/>
      <c r="I290" s="272"/>
      <c r="J290" s="272"/>
      <c r="K290" s="272"/>
      <c r="L290" s="272"/>
      <c r="M290" s="523"/>
      <c r="N290" s="272"/>
      <c r="O290" s="272"/>
      <c r="P290" s="272"/>
      <c r="Q290" s="272"/>
      <c r="R290" s="272"/>
      <c r="S290" s="272"/>
      <c r="T290" s="272"/>
      <c r="U290" s="272"/>
      <c r="V290" s="272"/>
      <c r="W290" s="272"/>
      <c r="X290" s="272"/>
      <c r="Y290" s="272"/>
      <c r="Z290" s="272"/>
      <c r="AA290" s="272"/>
      <c r="AB290" s="272"/>
      <c r="AC290" s="272"/>
      <c r="AD290" s="272"/>
      <c r="AE290" s="272"/>
      <c r="AF290" s="272"/>
    </row>
    <row r="291" spans="1:32" ht="122.4" customHeight="1" thickBot="1" x14ac:dyDescent="0.45">
      <c r="A291" s="272"/>
      <c r="B291" s="272"/>
      <c r="C291" s="272"/>
      <c r="D291" s="650"/>
      <c r="E291" s="272"/>
      <c r="F291" s="379"/>
      <c r="G291" s="272"/>
      <c r="H291" s="272"/>
      <c r="I291" s="272"/>
      <c r="J291" s="272"/>
      <c r="K291" s="272"/>
      <c r="L291" s="272"/>
      <c r="M291" s="523"/>
      <c r="N291" s="272"/>
      <c r="O291" s="272"/>
      <c r="P291" s="272"/>
      <c r="Q291" s="272"/>
      <c r="R291" s="272"/>
      <c r="S291" s="272"/>
      <c r="T291" s="272"/>
      <c r="U291" s="272"/>
      <c r="V291" s="272"/>
      <c r="W291" s="272"/>
      <c r="X291" s="272"/>
      <c r="Y291" s="272"/>
      <c r="Z291" s="272"/>
      <c r="AA291" s="272"/>
      <c r="AB291" s="272"/>
      <c r="AC291" s="272"/>
      <c r="AD291" s="272"/>
      <c r="AE291" s="272"/>
      <c r="AF291" s="272"/>
    </row>
    <row r="292" spans="1:32" ht="122.4" customHeight="1" thickBot="1" x14ac:dyDescent="0.45">
      <c r="A292" s="272"/>
      <c r="B292" s="272"/>
      <c r="C292" s="272"/>
      <c r="D292" s="650"/>
      <c r="E292" s="272"/>
      <c r="F292" s="379"/>
      <c r="G292" s="272"/>
      <c r="H292" s="272"/>
      <c r="I292" s="272"/>
      <c r="J292" s="272"/>
      <c r="K292" s="272"/>
      <c r="L292" s="272"/>
      <c r="M292" s="523"/>
      <c r="N292" s="272"/>
      <c r="O292" s="272"/>
      <c r="P292" s="272"/>
      <c r="Q292" s="272"/>
      <c r="R292" s="272"/>
      <c r="S292" s="272"/>
      <c r="T292" s="272"/>
      <c r="U292" s="272"/>
      <c r="V292" s="272"/>
      <c r="W292" s="272"/>
      <c r="X292" s="272"/>
      <c r="Y292" s="272"/>
      <c r="Z292" s="272"/>
      <c r="AA292" s="272"/>
      <c r="AB292" s="272"/>
      <c r="AC292" s="272"/>
      <c r="AD292" s="272"/>
      <c r="AE292" s="272"/>
      <c r="AF292" s="272"/>
    </row>
    <row r="293" spans="1:32" ht="122.4" customHeight="1" thickBot="1" x14ac:dyDescent="0.45">
      <c r="A293" s="272"/>
      <c r="B293" s="272"/>
      <c r="C293" s="272"/>
      <c r="D293" s="650"/>
      <c r="E293" s="272"/>
      <c r="F293" s="379"/>
      <c r="G293" s="272"/>
      <c r="H293" s="272"/>
      <c r="I293" s="272"/>
      <c r="J293" s="272"/>
      <c r="K293" s="272"/>
      <c r="L293" s="272"/>
      <c r="M293" s="523"/>
      <c r="N293" s="272"/>
      <c r="O293" s="272"/>
      <c r="P293" s="272"/>
      <c r="Q293" s="272"/>
      <c r="R293" s="272"/>
      <c r="S293" s="272"/>
      <c r="T293" s="272"/>
      <c r="U293" s="272"/>
      <c r="V293" s="272"/>
      <c r="W293" s="272"/>
      <c r="X293" s="272"/>
      <c r="Y293" s="272"/>
      <c r="Z293" s="272"/>
      <c r="AA293" s="272"/>
      <c r="AB293" s="272"/>
      <c r="AC293" s="272"/>
      <c r="AD293" s="272"/>
      <c r="AE293" s="272"/>
      <c r="AF293" s="272"/>
    </row>
    <row r="294" spans="1:32" ht="122.4" customHeight="1" thickBot="1" x14ac:dyDescent="0.45">
      <c r="A294" s="272"/>
      <c r="B294" s="272"/>
      <c r="C294" s="272"/>
      <c r="D294" s="650"/>
      <c r="E294" s="272"/>
      <c r="F294" s="379"/>
      <c r="G294" s="272"/>
      <c r="H294" s="272"/>
      <c r="I294" s="272"/>
      <c r="J294" s="272"/>
      <c r="K294" s="272"/>
      <c r="L294" s="272"/>
      <c r="M294" s="523"/>
      <c r="N294" s="272"/>
      <c r="O294" s="272"/>
      <c r="P294" s="272"/>
      <c r="Q294" s="272"/>
      <c r="R294" s="272"/>
      <c r="S294" s="272"/>
      <c r="T294" s="272"/>
      <c r="U294" s="272"/>
      <c r="V294" s="272"/>
      <c r="W294" s="272"/>
      <c r="X294" s="272"/>
      <c r="Y294" s="272"/>
      <c r="Z294" s="272"/>
      <c r="AA294" s="272"/>
      <c r="AB294" s="272"/>
      <c r="AC294" s="272"/>
      <c r="AD294" s="272"/>
      <c r="AE294" s="272"/>
      <c r="AF294" s="272"/>
    </row>
    <row r="295" spans="1:32" ht="122.4" customHeight="1" thickBot="1" x14ac:dyDescent="0.45">
      <c r="A295" s="272"/>
      <c r="B295" s="272"/>
      <c r="C295" s="272"/>
      <c r="D295" s="650"/>
      <c r="E295" s="272"/>
      <c r="F295" s="379"/>
      <c r="G295" s="272"/>
      <c r="H295" s="272"/>
      <c r="I295" s="272"/>
      <c r="J295" s="272"/>
      <c r="K295" s="272"/>
      <c r="L295" s="272"/>
      <c r="M295" s="523"/>
      <c r="N295" s="272"/>
      <c r="O295" s="272"/>
      <c r="P295" s="272"/>
      <c r="Q295" s="272"/>
      <c r="R295" s="272"/>
      <c r="S295" s="272"/>
      <c r="T295" s="272"/>
      <c r="U295" s="272"/>
      <c r="V295" s="272"/>
      <c r="W295" s="272"/>
      <c r="X295" s="272"/>
      <c r="Y295" s="272"/>
      <c r="Z295" s="272"/>
      <c r="AA295" s="272"/>
      <c r="AB295" s="272"/>
      <c r="AC295" s="272"/>
      <c r="AD295" s="272"/>
      <c r="AE295" s="272"/>
      <c r="AF295" s="272"/>
    </row>
    <row r="296" spans="1:32" ht="122.4" customHeight="1" thickBot="1" x14ac:dyDescent="0.45">
      <c r="A296" s="272"/>
      <c r="B296" s="272"/>
      <c r="C296" s="272"/>
      <c r="D296" s="650"/>
      <c r="E296" s="272"/>
      <c r="F296" s="379"/>
      <c r="G296" s="272"/>
      <c r="H296" s="272"/>
      <c r="I296" s="272"/>
      <c r="J296" s="272"/>
      <c r="K296" s="272"/>
      <c r="L296" s="272"/>
      <c r="M296" s="523"/>
      <c r="N296" s="272"/>
      <c r="O296" s="272"/>
      <c r="P296" s="272"/>
      <c r="Q296" s="272"/>
      <c r="R296" s="272"/>
      <c r="S296" s="272"/>
      <c r="T296" s="272"/>
      <c r="U296" s="272"/>
      <c r="V296" s="272"/>
      <c r="W296" s="272"/>
      <c r="X296" s="272"/>
      <c r="Y296" s="272"/>
      <c r="Z296" s="272"/>
      <c r="AA296" s="272"/>
      <c r="AB296" s="272"/>
      <c r="AC296" s="272"/>
      <c r="AD296" s="272"/>
      <c r="AE296" s="272"/>
      <c r="AF296" s="272"/>
    </row>
    <row r="297" spans="1:32" ht="122.4" customHeight="1" thickBot="1" x14ac:dyDescent="0.45">
      <c r="A297" s="272"/>
      <c r="B297" s="272"/>
      <c r="C297" s="272"/>
      <c r="D297" s="650"/>
      <c r="E297" s="272"/>
      <c r="F297" s="379"/>
      <c r="G297" s="272"/>
      <c r="H297" s="272"/>
      <c r="I297" s="272"/>
      <c r="J297" s="272"/>
      <c r="K297" s="272"/>
      <c r="L297" s="272"/>
      <c r="M297" s="523"/>
      <c r="N297" s="272"/>
      <c r="O297" s="272"/>
      <c r="P297" s="272"/>
      <c r="Q297" s="272"/>
      <c r="R297" s="272"/>
      <c r="S297" s="272"/>
      <c r="T297" s="272"/>
      <c r="U297" s="272"/>
      <c r="V297" s="272"/>
      <c r="W297" s="272"/>
      <c r="X297" s="272"/>
      <c r="Y297" s="272"/>
      <c r="Z297" s="272"/>
      <c r="AA297" s="272"/>
      <c r="AB297" s="272"/>
      <c r="AC297" s="272"/>
      <c r="AD297" s="272"/>
      <c r="AE297" s="272"/>
      <c r="AF297" s="272"/>
    </row>
    <row r="298" spans="1:32" ht="122.4" customHeight="1" thickBot="1" x14ac:dyDescent="0.45">
      <c r="A298" s="272"/>
      <c r="B298" s="272"/>
      <c r="C298" s="272"/>
      <c r="D298" s="650"/>
      <c r="E298" s="272"/>
      <c r="F298" s="379"/>
      <c r="G298" s="272"/>
      <c r="H298" s="272"/>
      <c r="I298" s="272"/>
      <c r="J298" s="272"/>
      <c r="K298" s="272"/>
      <c r="L298" s="272"/>
      <c r="M298" s="523"/>
      <c r="N298" s="272"/>
      <c r="O298" s="272"/>
      <c r="P298" s="272"/>
      <c r="Q298" s="272"/>
      <c r="R298" s="272"/>
      <c r="S298" s="272"/>
      <c r="T298" s="272"/>
      <c r="U298" s="272"/>
      <c r="V298" s="272"/>
      <c r="W298" s="272"/>
      <c r="X298" s="272"/>
      <c r="Y298" s="272"/>
      <c r="Z298" s="272"/>
      <c r="AA298" s="272"/>
      <c r="AB298" s="272"/>
      <c r="AC298" s="272"/>
      <c r="AD298" s="272"/>
      <c r="AE298" s="272"/>
      <c r="AF298" s="272"/>
    </row>
    <row r="299" spans="1:32" ht="122.4" customHeight="1" thickBot="1" x14ac:dyDescent="0.45">
      <c r="A299" s="272"/>
      <c r="B299" s="272"/>
      <c r="C299" s="272"/>
      <c r="D299" s="650"/>
      <c r="E299" s="272"/>
      <c r="F299" s="379"/>
      <c r="G299" s="272"/>
      <c r="H299" s="272"/>
      <c r="I299" s="272"/>
      <c r="J299" s="272"/>
      <c r="K299" s="272"/>
      <c r="L299" s="272"/>
      <c r="M299" s="523"/>
      <c r="N299" s="272"/>
      <c r="O299" s="272"/>
      <c r="P299" s="272"/>
      <c r="Q299" s="272"/>
      <c r="R299" s="272"/>
      <c r="S299" s="272"/>
      <c r="T299" s="272"/>
      <c r="U299" s="272"/>
      <c r="V299" s="272"/>
      <c r="W299" s="272"/>
      <c r="X299" s="272"/>
      <c r="Y299" s="272"/>
      <c r="Z299" s="272"/>
      <c r="AA299" s="272"/>
      <c r="AB299" s="272"/>
      <c r="AC299" s="272"/>
      <c r="AD299" s="272"/>
      <c r="AE299" s="272"/>
      <c r="AF299" s="272"/>
    </row>
    <row r="300" spans="1:32" ht="122.4" customHeight="1" thickBot="1" x14ac:dyDescent="0.45">
      <c r="A300" s="272"/>
      <c r="B300" s="272"/>
      <c r="C300" s="272"/>
      <c r="D300" s="650"/>
      <c r="E300" s="272"/>
      <c r="F300" s="379"/>
      <c r="G300" s="272"/>
      <c r="H300" s="272"/>
      <c r="I300" s="272"/>
      <c r="J300" s="272"/>
      <c r="K300" s="272"/>
      <c r="L300" s="272"/>
      <c r="M300" s="523"/>
      <c r="N300" s="272"/>
      <c r="O300" s="272"/>
      <c r="P300" s="272"/>
      <c r="Q300" s="272"/>
      <c r="R300" s="272"/>
      <c r="S300" s="272"/>
      <c r="T300" s="272"/>
      <c r="U300" s="272"/>
      <c r="V300" s="272"/>
      <c r="W300" s="272"/>
      <c r="X300" s="272"/>
      <c r="Y300" s="272"/>
      <c r="Z300" s="272"/>
      <c r="AA300" s="272"/>
      <c r="AB300" s="272"/>
      <c r="AC300" s="272"/>
      <c r="AD300" s="272"/>
      <c r="AE300" s="272"/>
      <c r="AF300" s="272"/>
    </row>
    <row r="301" spans="1:32" ht="122.4" customHeight="1" thickBot="1" x14ac:dyDescent="0.45">
      <c r="A301" s="272"/>
      <c r="B301" s="272"/>
      <c r="C301" s="272"/>
      <c r="D301" s="650"/>
      <c r="E301" s="272"/>
      <c r="F301" s="379"/>
      <c r="G301" s="272"/>
      <c r="H301" s="272"/>
      <c r="I301" s="272"/>
      <c r="J301" s="272"/>
      <c r="K301" s="272"/>
      <c r="L301" s="272"/>
      <c r="M301" s="523"/>
      <c r="N301" s="272"/>
      <c r="O301" s="272"/>
      <c r="P301" s="272"/>
      <c r="Q301" s="272"/>
      <c r="R301" s="272"/>
      <c r="S301" s="272"/>
      <c r="T301" s="272"/>
      <c r="U301" s="272"/>
      <c r="V301" s="272"/>
      <c r="W301" s="272"/>
      <c r="X301" s="272"/>
      <c r="Y301" s="272"/>
      <c r="Z301" s="272"/>
      <c r="AA301" s="272"/>
      <c r="AB301" s="272"/>
      <c r="AC301" s="272"/>
      <c r="AD301" s="272"/>
      <c r="AE301" s="272"/>
      <c r="AF301" s="272"/>
    </row>
    <row r="302" spans="1:32" ht="122.4" customHeight="1" thickBot="1" x14ac:dyDescent="0.45">
      <c r="A302" s="272"/>
      <c r="B302" s="272"/>
      <c r="C302" s="272"/>
      <c r="D302" s="650"/>
      <c r="E302" s="272"/>
      <c r="F302" s="379"/>
      <c r="G302" s="272"/>
      <c r="H302" s="272"/>
      <c r="I302" s="272"/>
      <c r="J302" s="272"/>
      <c r="K302" s="272"/>
      <c r="L302" s="272"/>
      <c r="M302" s="523"/>
      <c r="N302" s="272"/>
      <c r="O302" s="272"/>
      <c r="P302" s="272"/>
      <c r="Q302" s="272"/>
      <c r="R302" s="272"/>
      <c r="S302" s="272"/>
      <c r="T302" s="272"/>
      <c r="U302" s="272"/>
      <c r="V302" s="272"/>
      <c r="W302" s="272"/>
      <c r="X302" s="272"/>
      <c r="Y302" s="272"/>
      <c r="Z302" s="272"/>
      <c r="AA302" s="272"/>
      <c r="AB302" s="272"/>
      <c r="AC302" s="272"/>
      <c r="AD302" s="272"/>
      <c r="AE302" s="272"/>
      <c r="AF302" s="272"/>
    </row>
    <row r="303" spans="1:32" ht="122.4" customHeight="1" thickBot="1" x14ac:dyDescent="0.45">
      <c r="A303" s="272"/>
      <c r="B303" s="272"/>
      <c r="C303" s="272"/>
      <c r="D303" s="650"/>
      <c r="E303" s="272"/>
      <c r="F303" s="379"/>
      <c r="G303" s="272"/>
      <c r="H303" s="272"/>
      <c r="I303" s="272"/>
      <c r="J303" s="272"/>
      <c r="K303" s="272"/>
      <c r="L303" s="272"/>
      <c r="M303" s="523"/>
      <c r="N303" s="272"/>
      <c r="O303" s="272"/>
      <c r="P303" s="272"/>
      <c r="Q303" s="272"/>
      <c r="R303" s="272"/>
      <c r="S303" s="272"/>
      <c r="T303" s="272"/>
      <c r="U303" s="272"/>
      <c r="V303" s="272"/>
      <c r="W303" s="272"/>
      <c r="X303" s="272"/>
      <c r="Y303" s="272"/>
      <c r="Z303" s="272"/>
      <c r="AA303" s="272"/>
      <c r="AB303" s="272"/>
      <c r="AC303" s="272"/>
      <c r="AD303" s="272"/>
      <c r="AE303" s="272"/>
      <c r="AF303" s="272"/>
    </row>
    <row r="304" spans="1:32" ht="122.4" customHeight="1" thickBot="1" x14ac:dyDescent="0.45">
      <c r="A304" s="272"/>
      <c r="B304" s="272"/>
      <c r="C304" s="272"/>
      <c r="D304" s="650"/>
      <c r="E304" s="272"/>
      <c r="F304" s="379"/>
      <c r="G304" s="272"/>
      <c r="H304" s="272"/>
      <c r="I304" s="272"/>
      <c r="J304" s="272"/>
      <c r="K304" s="272"/>
      <c r="L304" s="272"/>
      <c r="M304" s="523"/>
      <c r="N304" s="272"/>
      <c r="O304" s="272"/>
      <c r="P304" s="272"/>
      <c r="Q304" s="272"/>
      <c r="R304" s="272"/>
      <c r="S304" s="272"/>
      <c r="T304" s="272"/>
      <c r="U304" s="272"/>
      <c r="V304" s="272"/>
      <c r="W304" s="272"/>
      <c r="X304" s="272"/>
      <c r="Y304" s="272"/>
      <c r="Z304" s="272"/>
      <c r="AA304" s="272"/>
      <c r="AB304" s="272"/>
      <c r="AC304" s="272"/>
      <c r="AD304" s="272"/>
      <c r="AE304" s="272"/>
      <c r="AF304" s="272"/>
    </row>
    <row r="305" spans="1:32" ht="122.4" customHeight="1" thickBot="1" x14ac:dyDescent="0.45">
      <c r="A305" s="272"/>
      <c r="B305" s="272"/>
      <c r="C305" s="272"/>
      <c r="D305" s="650"/>
      <c r="E305" s="272"/>
      <c r="F305" s="379"/>
      <c r="G305" s="272"/>
      <c r="H305" s="272"/>
      <c r="I305" s="272"/>
      <c r="J305" s="272"/>
      <c r="K305" s="272"/>
      <c r="L305" s="272"/>
      <c r="M305" s="523"/>
      <c r="N305" s="272"/>
      <c r="O305" s="272"/>
      <c r="P305" s="272"/>
      <c r="Q305" s="272"/>
      <c r="R305" s="272"/>
      <c r="S305" s="272"/>
      <c r="T305" s="272"/>
      <c r="U305" s="272"/>
      <c r="V305" s="272"/>
      <c r="W305" s="272"/>
      <c r="X305" s="272"/>
      <c r="Y305" s="272"/>
      <c r="Z305" s="272"/>
      <c r="AA305" s="272"/>
      <c r="AB305" s="272"/>
      <c r="AC305" s="272"/>
      <c r="AD305" s="272"/>
      <c r="AE305" s="272"/>
      <c r="AF305" s="272"/>
    </row>
    <row r="306" spans="1:32" ht="122.4" customHeight="1" thickBot="1" x14ac:dyDescent="0.45">
      <c r="A306" s="272"/>
      <c r="B306" s="272"/>
      <c r="C306" s="272"/>
      <c r="D306" s="650"/>
      <c r="E306" s="272"/>
      <c r="F306" s="379"/>
      <c r="G306" s="272"/>
      <c r="H306" s="272"/>
      <c r="I306" s="272"/>
      <c r="J306" s="272"/>
      <c r="K306" s="272"/>
      <c r="L306" s="272"/>
      <c r="M306" s="523"/>
      <c r="N306" s="272"/>
      <c r="O306" s="272"/>
      <c r="P306" s="272"/>
      <c r="Q306" s="272"/>
      <c r="R306" s="272"/>
      <c r="S306" s="272"/>
      <c r="T306" s="272"/>
      <c r="U306" s="272"/>
      <c r="V306" s="272"/>
      <c r="W306" s="272"/>
      <c r="X306" s="272"/>
      <c r="Y306" s="272"/>
      <c r="Z306" s="272"/>
      <c r="AA306" s="272"/>
      <c r="AB306" s="272"/>
      <c r="AC306" s="272"/>
      <c r="AD306" s="272"/>
      <c r="AE306" s="272"/>
      <c r="AF306" s="272"/>
    </row>
    <row r="307" spans="1:32" ht="122.4" customHeight="1" thickBot="1" x14ac:dyDescent="0.45">
      <c r="A307" s="272"/>
      <c r="B307" s="272"/>
      <c r="C307" s="272"/>
      <c r="D307" s="650"/>
      <c r="E307" s="272"/>
      <c r="F307" s="379"/>
      <c r="G307" s="272"/>
      <c r="H307" s="272"/>
      <c r="I307" s="272"/>
      <c r="J307" s="272"/>
      <c r="K307" s="272"/>
      <c r="L307" s="272"/>
      <c r="M307" s="523"/>
      <c r="N307" s="272"/>
      <c r="O307" s="272"/>
      <c r="P307" s="272"/>
      <c r="Q307" s="272"/>
      <c r="R307" s="272"/>
      <c r="S307" s="272"/>
      <c r="T307" s="272"/>
      <c r="U307" s="272"/>
      <c r="V307" s="272"/>
      <c r="W307" s="272"/>
      <c r="X307" s="272"/>
      <c r="Y307" s="272"/>
      <c r="Z307" s="272"/>
      <c r="AA307" s="272"/>
      <c r="AB307" s="272"/>
      <c r="AC307" s="272"/>
      <c r="AD307" s="272"/>
      <c r="AE307" s="272"/>
      <c r="AF307" s="272"/>
    </row>
    <row r="308" spans="1:32" ht="122.4" customHeight="1" thickBot="1" x14ac:dyDescent="0.45">
      <c r="A308" s="272"/>
      <c r="B308" s="272"/>
      <c r="C308" s="272"/>
      <c r="D308" s="650"/>
      <c r="E308" s="272"/>
      <c r="F308" s="379"/>
      <c r="G308" s="272"/>
      <c r="H308" s="272"/>
      <c r="I308" s="272"/>
      <c r="J308" s="272"/>
      <c r="K308" s="272"/>
      <c r="L308" s="272"/>
      <c r="M308" s="523"/>
      <c r="N308" s="272"/>
      <c r="O308" s="272"/>
      <c r="P308" s="272"/>
      <c r="Q308" s="272"/>
      <c r="R308" s="272"/>
      <c r="S308" s="272"/>
      <c r="T308" s="272"/>
      <c r="U308" s="272"/>
      <c r="V308" s="272"/>
      <c r="W308" s="272"/>
      <c r="X308" s="272"/>
      <c r="Y308" s="272"/>
      <c r="Z308" s="272"/>
      <c r="AA308" s="272"/>
      <c r="AB308" s="272"/>
      <c r="AC308" s="272"/>
      <c r="AD308" s="272"/>
      <c r="AE308" s="272"/>
      <c r="AF308" s="272"/>
    </row>
    <row r="309" spans="1:32" ht="122.4" customHeight="1" thickBot="1" x14ac:dyDescent="0.45">
      <c r="A309" s="272"/>
      <c r="B309" s="272"/>
      <c r="C309" s="272"/>
      <c r="D309" s="650"/>
      <c r="E309" s="272"/>
      <c r="F309" s="379"/>
      <c r="G309" s="272"/>
      <c r="H309" s="272"/>
      <c r="I309" s="272"/>
      <c r="J309" s="272"/>
      <c r="K309" s="272"/>
      <c r="L309" s="272"/>
      <c r="M309" s="523"/>
      <c r="N309" s="272"/>
      <c r="O309" s="272"/>
      <c r="P309" s="272"/>
      <c r="Q309" s="272"/>
      <c r="R309" s="272"/>
      <c r="S309" s="272"/>
      <c r="T309" s="272"/>
      <c r="U309" s="272"/>
      <c r="V309" s="272"/>
      <c r="W309" s="272"/>
      <c r="X309" s="272"/>
      <c r="Y309" s="272"/>
      <c r="Z309" s="272"/>
      <c r="AA309" s="272"/>
      <c r="AB309" s="272"/>
      <c r="AC309" s="272"/>
      <c r="AD309" s="272"/>
      <c r="AE309" s="272"/>
      <c r="AF309" s="272"/>
    </row>
    <row r="310" spans="1:32" ht="122.4" customHeight="1" thickBot="1" x14ac:dyDescent="0.45">
      <c r="A310" s="272"/>
      <c r="B310" s="272"/>
      <c r="C310" s="272"/>
      <c r="D310" s="650"/>
      <c r="E310" s="272"/>
      <c r="F310" s="379"/>
      <c r="G310" s="272"/>
      <c r="H310" s="272"/>
      <c r="I310" s="272"/>
      <c r="J310" s="272"/>
      <c r="K310" s="272"/>
      <c r="L310" s="272"/>
      <c r="M310" s="523"/>
      <c r="N310" s="272"/>
      <c r="O310" s="272"/>
      <c r="P310" s="272"/>
      <c r="Q310" s="272"/>
      <c r="R310" s="272"/>
      <c r="S310" s="272"/>
      <c r="T310" s="272"/>
      <c r="U310" s="272"/>
      <c r="V310" s="272"/>
      <c r="W310" s="272"/>
      <c r="X310" s="272"/>
      <c r="Y310" s="272"/>
      <c r="Z310" s="272"/>
      <c r="AA310" s="272"/>
      <c r="AB310" s="272"/>
      <c r="AC310" s="272"/>
      <c r="AD310" s="272"/>
      <c r="AE310" s="272"/>
      <c r="AF310" s="272"/>
    </row>
    <row r="311" spans="1:32" ht="122.4" customHeight="1" thickBot="1" x14ac:dyDescent="0.45">
      <c r="A311" s="272"/>
      <c r="B311" s="272"/>
      <c r="C311" s="272"/>
      <c r="D311" s="650"/>
      <c r="E311" s="272"/>
      <c r="F311" s="379"/>
      <c r="G311" s="272"/>
      <c r="H311" s="272"/>
      <c r="I311" s="272"/>
      <c r="J311" s="272"/>
      <c r="K311" s="272"/>
      <c r="L311" s="272"/>
      <c r="M311" s="523"/>
      <c r="N311" s="272"/>
      <c r="O311" s="272"/>
      <c r="P311" s="272"/>
      <c r="Q311" s="272"/>
      <c r="R311" s="272"/>
      <c r="S311" s="272"/>
      <c r="T311" s="272"/>
      <c r="U311" s="272"/>
      <c r="V311" s="272"/>
      <c r="W311" s="272"/>
      <c r="X311" s="272"/>
      <c r="Y311" s="272"/>
      <c r="Z311" s="272"/>
      <c r="AA311" s="272"/>
      <c r="AB311" s="272"/>
      <c r="AC311" s="272"/>
      <c r="AD311" s="272"/>
      <c r="AE311" s="272"/>
      <c r="AF311" s="272"/>
    </row>
    <row r="312" spans="1:32" ht="122.4" customHeight="1" thickBot="1" x14ac:dyDescent="0.45">
      <c r="A312" s="272"/>
      <c r="B312" s="272"/>
      <c r="C312" s="272"/>
      <c r="D312" s="650"/>
      <c r="E312" s="272"/>
      <c r="F312" s="379"/>
      <c r="G312" s="272"/>
      <c r="H312" s="272"/>
      <c r="I312" s="272"/>
      <c r="J312" s="272"/>
      <c r="K312" s="272"/>
      <c r="L312" s="272"/>
      <c r="M312" s="523"/>
      <c r="N312" s="272"/>
      <c r="O312" s="272"/>
      <c r="P312" s="272"/>
      <c r="Q312" s="272"/>
      <c r="R312" s="272"/>
      <c r="S312" s="272"/>
      <c r="T312" s="272"/>
      <c r="U312" s="272"/>
      <c r="V312" s="272"/>
      <c r="W312" s="272"/>
      <c r="X312" s="272"/>
      <c r="Y312" s="272"/>
      <c r="Z312" s="272"/>
      <c r="AA312" s="272"/>
      <c r="AB312" s="272"/>
      <c r="AC312" s="272"/>
      <c r="AD312" s="272"/>
      <c r="AE312" s="272"/>
      <c r="AF312" s="272"/>
    </row>
    <row r="313" spans="1:32" ht="122.4" customHeight="1" thickBot="1" x14ac:dyDescent="0.45">
      <c r="A313" s="272"/>
      <c r="B313" s="272"/>
      <c r="C313" s="272"/>
      <c r="D313" s="650"/>
      <c r="E313" s="272"/>
      <c r="F313" s="379"/>
      <c r="G313" s="272"/>
      <c r="H313" s="272"/>
      <c r="I313" s="272"/>
      <c r="J313" s="272"/>
      <c r="K313" s="272"/>
      <c r="L313" s="272"/>
      <c r="M313" s="523"/>
      <c r="N313" s="272"/>
      <c r="O313" s="272"/>
      <c r="P313" s="272"/>
      <c r="Q313" s="272"/>
      <c r="R313" s="272"/>
      <c r="S313" s="272"/>
      <c r="T313" s="272"/>
      <c r="U313" s="272"/>
      <c r="V313" s="272"/>
      <c r="W313" s="272"/>
      <c r="X313" s="272"/>
      <c r="Y313" s="272"/>
      <c r="Z313" s="272"/>
      <c r="AA313" s="272"/>
      <c r="AB313" s="272"/>
      <c r="AC313" s="272"/>
      <c r="AD313" s="272"/>
      <c r="AE313" s="272"/>
      <c r="AF313" s="272"/>
    </row>
    <row r="314" spans="1:32" ht="122.4" customHeight="1" thickBot="1" x14ac:dyDescent="0.45">
      <c r="A314" s="272"/>
      <c r="B314" s="272"/>
      <c r="C314" s="272"/>
      <c r="D314" s="650"/>
      <c r="E314" s="272"/>
      <c r="F314" s="379"/>
      <c r="G314" s="272"/>
      <c r="H314" s="272"/>
      <c r="I314" s="272"/>
      <c r="J314" s="272"/>
      <c r="K314" s="272"/>
      <c r="L314" s="272"/>
      <c r="M314" s="523"/>
      <c r="N314" s="272"/>
      <c r="O314" s="272"/>
      <c r="P314" s="272"/>
      <c r="Q314" s="272"/>
      <c r="R314" s="272"/>
      <c r="S314" s="272"/>
      <c r="T314" s="272"/>
      <c r="U314" s="272"/>
      <c r="V314" s="272"/>
      <c r="W314" s="272"/>
      <c r="X314" s="272"/>
      <c r="Y314" s="272"/>
      <c r="Z314" s="272"/>
      <c r="AA314" s="272"/>
      <c r="AB314" s="272"/>
      <c r="AC314" s="272"/>
      <c r="AD314" s="272"/>
      <c r="AE314" s="272"/>
      <c r="AF314" s="272"/>
    </row>
    <row r="315" spans="1:32" ht="122.4" customHeight="1" thickBot="1" x14ac:dyDescent="0.45">
      <c r="A315" s="272"/>
      <c r="B315" s="272"/>
      <c r="C315" s="272"/>
      <c r="D315" s="650"/>
      <c r="E315" s="272"/>
      <c r="F315" s="379"/>
      <c r="G315" s="272"/>
      <c r="H315" s="272"/>
      <c r="I315" s="272"/>
      <c r="J315" s="272"/>
      <c r="K315" s="272"/>
      <c r="L315" s="272"/>
      <c r="M315" s="523"/>
      <c r="N315" s="272"/>
      <c r="O315" s="272"/>
      <c r="P315" s="272"/>
      <c r="Q315" s="272"/>
      <c r="R315" s="272"/>
      <c r="S315" s="272"/>
      <c r="T315" s="272"/>
      <c r="U315" s="272"/>
      <c r="V315" s="272"/>
      <c r="W315" s="272"/>
      <c r="X315" s="272"/>
      <c r="Y315" s="272"/>
      <c r="Z315" s="272"/>
      <c r="AA315" s="272"/>
      <c r="AB315" s="272"/>
      <c r="AC315" s="272"/>
      <c r="AD315" s="272"/>
      <c r="AE315" s="272"/>
      <c r="AF315" s="272"/>
    </row>
    <row r="316" spans="1:32" ht="122.4" customHeight="1" thickBot="1" x14ac:dyDescent="0.45">
      <c r="A316" s="272"/>
      <c r="B316" s="272"/>
      <c r="C316" s="272"/>
      <c r="D316" s="650"/>
      <c r="E316" s="272"/>
      <c r="F316" s="379"/>
      <c r="G316" s="272"/>
      <c r="H316" s="272"/>
      <c r="I316" s="272"/>
      <c r="J316" s="272"/>
      <c r="K316" s="272"/>
      <c r="L316" s="272"/>
      <c r="M316" s="523"/>
      <c r="N316" s="272"/>
      <c r="O316" s="272"/>
      <c r="P316" s="272"/>
      <c r="Q316" s="272"/>
      <c r="R316" s="272"/>
      <c r="S316" s="272"/>
      <c r="T316" s="272"/>
      <c r="U316" s="272"/>
      <c r="V316" s="272"/>
      <c r="W316" s="272"/>
      <c r="X316" s="272"/>
      <c r="Y316" s="272"/>
      <c r="Z316" s="272"/>
      <c r="AA316" s="272"/>
      <c r="AB316" s="272"/>
      <c r="AC316" s="272"/>
      <c r="AD316" s="272"/>
      <c r="AE316" s="272"/>
      <c r="AF316" s="272"/>
    </row>
    <row r="317" spans="1:32" ht="122.4" customHeight="1" thickBot="1" x14ac:dyDescent="0.45">
      <c r="A317" s="272"/>
      <c r="B317" s="272"/>
      <c r="C317" s="272"/>
      <c r="D317" s="650"/>
      <c r="E317" s="272"/>
      <c r="F317" s="379"/>
      <c r="G317" s="272"/>
      <c r="H317" s="272"/>
      <c r="I317" s="272"/>
      <c r="J317" s="272"/>
      <c r="K317" s="272"/>
      <c r="L317" s="272"/>
      <c r="M317" s="523"/>
      <c r="N317" s="272"/>
      <c r="O317" s="272"/>
      <c r="P317" s="272"/>
      <c r="Q317" s="272"/>
      <c r="R317" s="272"/>
      <c r="S317" s="272"/>
      <c r="T317" s="272"/>
      <c r="U317" s="272"/>
      <c r="V317" s="272"/>
      <c r="W317" s="272"/>
      <c r="X317" s="272"/>
      <c r="Y317" s="272"/>
      <c r="Z317" s="272"/>
      <c r="AA317" s="272"/>
      <c r="AB317" s="272"/>
      <c r="AC317" s="272"/>
      <c r="AD317" s="272"/>
      <c r="AE317" s="272"/>
      <c r="AF317" s="272"/>
    </row>
    <row r="318" spans="1:32" ht="122.4" customHeight="1" thickBot="1" x14ac:dyDescent="0.45">
      <c r="A318" s="272"/>
      <c r="B318" s="272"/>
      <c r="C318" s="272"/>
      <c r="D318" s="650"/>
      <c r="E318" s="272"/>
      <c r="F318" s="379"/>
      <c r="G318" s="272"/>
      <c r="H318" s="272"/>
      <c r="I318" s="272"/>
      <c r="J318" s="272"/>
      <c r="K318" s="272"/>
      <c r="L318" s="272"/>
      <c r="M318" s="523"/>
      <c r="N318" s="272"/>
      <c r="O318" s="272"/>
      <c r="P318" s="272"/>
      <c r="Q318" s="272"/>
      <c r="R318" s="272"/>
      <c r="S318" s="272"/>
      <c r="T318" s="272"/>
      <c r="U318" s="272"/>
      <c r="V318" s="272"/>
      <c r="W318" s="272"/>
      <c r="X318" s="272"/>
      <c r="Y318" s="272"/>
      <c r="Z318" s="272"/>
      <c r="AA318" s="272"/>
      <c r="AB318" s="272"/>
      <c r="AC318" s="272"/>
      <c r="AD318" s="272"/>
      <c r="AE318" s="272"/>
      <c r="AF318" s="272"/>
    </row>
    <row r="319" spans="1:32" ht="122.4" customHeight="1" thickBot="1" x14ac:dyDescent="0.45">
      <c r="A319" s="272"/>
      <c r="B319" s="272"/>
      <c r="C319" s="272"/>
      <c r="D319" s="650"/>
      <c r="E319" s="272"/>
      <c r="F319" s="379"/>
      <c r="G319" s="272"/>
      <c r="H319" s="272"/>
      <c r="I319" s="272"/>
      <c r="J319" s="272"/>
      <c r="K319" s="272"/>
      <c r="L319" s="272"/>
      <c r="M319" s="523"/>
      <c r="N319" s="272"/>
      <c r="O319" s="272"/>
      <c r="P319" s="272"/>
      <c r="Q319" s="272"/>
      <c r="R319" s="272"/>
      <c r="S319" s="272"/>
      <c r="T319" s="272"/>
      <c r="U319" s="272"/>
      <c r="V319" s="272"/>
      <c r="W319" s="272"/>
      <c r="X319" s="272"/>
      <c r="Y319" s="272"/>
      <c r="Z319" s="272"/>
      <c r="AA319" s="272"/>
      <c r="AB319" s="272"/>
      <c r="AC319" s="272"/>
      <c r="AD319" s="272"/>
      <c r="AE319" s="272"/>
      <c r="AF319" s="272"/>
    </row>
    <row r="320" spans="1:32" ht="122.4" customHeight="1" thickBot="1" x14ac:dyDescent="0.45">
      <c r="A320" s="272"/>
      <c r="B320" s="272"/>
      <c r="C320" s="272"/>
      <c r="D320" s="650"/>
      <c r="E320" s="272"/>
      <c r="F320" s="379"/>
      <c r="G320" s="272"/>
      <c r="H320" s="272"/>
      <c r="I320" s="272"/>
      <c r="J320" s="272"/>
      <c r="K320" s="272"/>
      <c r="L320" s="272"/>
      <c r="M320" s="523"/>
      <c r="N320" s="272"/>
      <c r="O320" s="272"/>
      <c r="P320" s="272"/>
      <c r="Q320" s="272"/>
      <c r="R320" s="272"/>
      <c r="S320" s="272"/>
      <c r="T320" s="272"/>
      <c r="U320" s="272"/>
      <c r="V320" s="272"/>
      <c r="W320" s="272"/>
      <c r="X320" s="272"/>
      <c r="Y320" s="272"/>
      <c r="Z320" s="272"/>
      <c r="AA320" s="272"/>
      <c r="AB320" s="272"/>
      <c r="AC320" s="272"/>
      <c r="AD320" s="272"/>
      <c r="AE320" s="272"/>
      <c r="AF320" s="272"/>
    </row>
    <row r="321" spans="1:32" ht="122.4" customHeight="1" thickBot="1" x14ac:dyDescent="0.45">
      <c r="A321" s="272"/>
      <c r="B321" s="272"/>
      <c r="C321" s="272"/>
      <c r="D321" s="650"/>
      <c r="E321" s="272"/>
      <c r="F321" s="379"/>
      <c r="G321" s="272"/>
      <c r="H321" s="272"/>
      <c r="I321" s="272"/>
      <c r="J321" s="272"/>
      <c r="K321" s="272"/>
      <c r="L321" s="272"/>
      <c r="M321" s="523"/>
      <c r="N321" s="272"/>
      <c r="O321" s="272"/>
      <c r="P321" s="272"/>
      <c r="Q321" s="272"/>
      <c r="R321" s="272"/>
      <c r="S321" s="272"/>
      <c r="T321" s="272"/>
      <c r="U321" s="272"/>
      <c r="V321" s="272"/>
      <c r="W321" s="272"/>
      <c r="X321" s="272"/>
      <c r="Y321" s="272"/>
      <c r="Z321" s="272"/>
      <c r="AA321" s="272"/>
      <c r="AB321" s="272"/>
      <c r="AC321" s="272"/>
      <c r="AD321" s="272"/>
      <c r="AE321" s="272"/>
      <c r="AF321" s="272"/>
    </row>
    <row r="322" spans="1:32" ht="122.4" customHeight="1" thickBot="1" x14ac:dyDescent="0.45">
      <c r="A322" s="272"/>
      <c r="B322" s="272"/>
      <c r="C322" s="272"/>
      <c r="D322" s="650"/>
      <c r="E322" s="272"/>
      <c r="F322" s="379"/>
      <c r="G322" s="272"/>
      <c r="H322" s="272"/>
      <c r="I322" s="272"/>
      <c r="J322" s="272"/>
      <c r="K322" s="272"/>
      <c r="L322" s="272"/>
      <c r="M322" s="523"/>
      <c r="N322" s="272"/>
      <c r="O322" s="272"/>
      <c r="P322" s="272"/>
      <c r="Q322" s="272"/>
      <c r="R322" s="272"/>
      <c r="S322" s="272"/>
      <c r="T322" s="272"/>
      <c r="U322" s="272"/>
      <c r="V322" s="272"/>
      <c r="W322" s="272"/>
      <c r="X322" s="272"/>
      <c r="Y322" s="272"/>
      <c r="Z322" s="272"/>
      <c r="AA322" s="272"/>
      <c r="AB322" s="272"/>
      <c r="AC322" s="272"/>
      <c r="AD322" s="272"/>
      <c r="AE322" s="272"/>
      <c r="AF322" s="272"/>
    </row>
    <row r="323" spans="1:32" ht="122.4" customHeight="1" thickBot="1" x14ac:dyDescent="0.45">
      <c r="A323" s="272"/>
      <c r="B323" s="272"/>
      <c r="C323" s="272"/>
      <c r="D323" s="650"/>
      <c r="E323" s="272"/>
      <c r="F323" s="379"/>
      <c r="G323" s="272"/>
      <c r="H323" s="272"/>
      <c r="I323" s="272"/>
      <c r="J323" s="272"/>
      <c r="K323" s="272"/>
      <c r="L323" s="272"/>
      <c r="M323" s="523"/>
      <c r="N323" s="272"/>
      <c r="O323" s="272"/>
      <c r="P323" s="272"/>
      <c r="Q323" s="272"/>
      <c r="R323" s="272"/>
      <c r="S323" s="272"/>
      <c r="T323" s="272"/>
      <c r="U323" s="272"/>
      <c r="V323" s="272"/>
      <c r="W323" s="272"/>
      <c r="X323" s="272"/>
      <c r="Y323" s="272"/>
      <c r="Z323" s="272"/>
      <c r="AA323" s="272"/>
      <c r="AB323" s="272"/>
      <c r="AC323" s="272"/>
      <c r="AD323" s="272"/>
      <c r="AE323" s="272"/>
      <c r="AF323" s="272"/>
    </row>
    <row r="324" spans="1:32" ht="122.4" customHeight="1" thickBot="1" x14ac:dyDescent="0.45">
      <c r="A324" s="272"/>
      <c r="B324" s="272"/>
      <c r="C324" s="272"/>
      <c r="D324" s="650"/>
      <c r="E324" s="272"/>
      <c r="F324" s="379"/>
      <c r="G324" s="272"/>
      <c r="H324" s="272"/>
      <c r="I324" s="272"/>
      <c r="J324" s="272"/>
      <c r="K324" s="272"/>
      <c r="L324" s="272"/>
      <c r="M324" s="523"/>
      <c r="N324" s="272"/>
      <c r="O324" s="272"/>
      <c r="P324" s="272"/>
      <c r="Q324" s="272"/>
      <c r="R324" s="272"/>
      <c r="S324" s="272"/>
      <c r="T324" s="272"/>
      <c r="U324" s="272"/>
      <c r="V324" s="272"/>
      <c r="W324" s="272"/>
      <c r="X324" s="272"/>
      <c r="Y324" s="272"/>
      <c r="Z324" s="272"/>
      <c r="AA324" s="272"/>
      <c r="AB324" s="272"/>
      <c r="AC324" s="272"/>
      <c r="AD324" s="272"/>
      <c r="AE324" s="272"/>
      <c r="AF324" s="272"/>
    </row>
    <row r="325" spans="1:32" ht="122.4" customHeight="1" thickBot="1" x14ac:dyDescent="0.45">
      <c r="A325" s="272"/>
      <c r="B325" s="272"/>
      <c r="C325" s="272"/>
      <c r="D325" s="650"/>
      <c r="E325" s="272"/>
      <c r="F325" s="379"/>
      <c r="G325" s="272"/>
      <c r="H325" s="272"/>
      <c r="I325" s="272"/>
      <c r="J325" s="272"/>
      <c r="K325" s="272"/>
      <c r="L325" s="272"/>
      <c r="M325" s="523"/>
      <c r="N325" s="272"/>
      <c r="O325" s="272"/>
      <c r="P325" s="272"/>
      <c r="Q325" s="272"/>
      <c r="R325" s="272"/>
      <c r="S325" s="272"/>
      <c r="T325" s="272"/>
      <c r="U325" s="272"/>
      <c r="V325" s="272"/>
      <c r="W325" s="272"/>
      <c r="X325" s="272"/>
      <c r="Y325" s="272"/>
      <c r="Z325" s="272"/>
      <c r="AA325" s="272"/>
      <c r="AB325" s="272"/>
      <c r="AC325" s="272"/>
      <c r="AD325" s="272"/>
      <c r="AE325" s="272"/>
      <c r="AF325" s="272"/>
    </row>
    <row r="326" spans="1:32" ht="122.4" customHeight="1" thickBot="1" x14ac:dyDescent="0.45">
      <c r="A326" s="272"/>
      <c r="B326" s="272"/>
      <c r="C326" s="272"/>
      <c r="D326" s="650"/>
      <c r="E326" s="272"/>
      <c r="F326" s="379"/>
      <c r="G326" s="272"/>
      <c r="H326" s="272"/>
      <c r="I326" s="272"/>
      <c r="J326" s="272"/>
      <c r="K326" s="272"/>
      <c r="L326" s="272"/>
      <c r="M326" s="523"/>
      <c r="N326" s="272"/>
      <c r="O326" s="272"/>
      <c r="P326" s="272"/>
      <c r="Q326" s="272"/>
      <c r="R326" s="272"/>
      <c r="S326" s="272"/>
      <c r="T326" s="272"/>
      <c r="U326" s="272"/>
      <c r="V326" s="272"/>
      <c r="W326" s="272"/>
      <c r="X326" s="272"/>
      <c r="Y326" s="272"/>
      <c r="Z326" s="272"/>
      <c r="AA326" s="272"/>
      <c r="AB326" s="272"/>
      <c r="AC326" s="272"/>
      <c r="AD326" s="272"/>
      <c r="AE326" s="272"/>
      <c r="AF326" s="272"/>
    </row>
    <row r="327" spans="1:32" ht="122.4" customHeight="1" thickBot="1" x14ac:dyDescent="0.45">
      <c r="A327" s="272"/>
      <c r="B327" s="272"/>
      <c r="C327" s="272"/>
      <c r="D327" s="650"/>
      <c r="E327" s="272"/>
      <c r="F327" s="379"/>
      <c r="G327" s="272"/>
      <c r="H327" s="272"/>
      <c r="I327" s="272"/>
      <c r="J327" s="272"/>
      <c r="K327" s="272"/>
      <c r="L327" s="272"/>
      <c r="M327" s="523"/>
      <c r="N327" s="272"/>
      <c r="O327" s="272"/>
      <c r="P327" s="272"/>
      <c r="Q327" s="272"/>
      <c r="R327" s="272"/>
      <c r="S327" s="272"/>
      <c r="T327" s="272"/>
      <c r="U327" s="272"/>
      <c r="V327" s="272"/>
      <c r="W327" s="272"/>
      <c r="X327" s="272"/>
      <c r="Y327" s="272"/>
      <c r="Z327" s="272"/>
      <c r="AA327" s="272"/>
      <c r="AB327" s="272"/>
      <c r="AC327" s="272"/>
      <c r="AD327" s="272"/>
      <c r="AE327" s="272"/>
      <c r="AF327" s="272"/>
    </row>
    <row r="328" spans="1:32" ht="122.4" customHeight="1" thickBot="1" x14ac:dyDescent="0.45">
      <c r="A328" s="272"/>
      <c r="B328" s="272"/>
      <c r="C328" s="272"/>
      <c r="D328" s="650"/>
      <c r="E328" s="272"/>
      <c r="F328" s="379"/>
      <c r="G328" s="272"/>
      <c r="H328" s="272"/>
      <c r="I328" s="272"/>
      <c r="J328" s="272"/>
      <c r="K328" s="272"/>
      <c r="L328" s="272"/>
      <c r="M328" s="523"/>
      <c r="N328" s="272"/>
      <c r="O328" s="272"/>
      <c r="P328" s="272"/>
      <c r="Q328" s="272"/>
      <c r="R328" s="272"/>
      <c r="S328" s="272"/>
      <c r="T328" s="272"/>
      <c r="U328" s="272"/>
      <c r="V328" s="272"/>
      <c r="W328" s="272"/>
      <c r="X328" s="272"/>
      <c r="Y328" s="272"/>
      <c r="Z328" s="272"/>
      <c r="AA328" s="272"/>
      <c r="AB328" s="272"/>
      <c r="AC328" s="272"/>
      <c r="AD328" s="272"/>
      <c r="AE328" s="272"/>
      <c r="AF328" s="272"/>
    </row>
    <row r="329" spans="1:32" ht="122.4" customHeight="1" thickBot="1" x14ac:dyDescent="0.45">
      <c r="A329" s="272"/>
      <c r="B329" s="272"/>
      <c r="C329" s="272"/>
      <c r="D329" s="650"/>
      <c r="E329" s="272"/>
      <c r="F329" s="379"/>
      <c r="G329" s="272"/>
      <c r="H329" s="272"/>
      <c r="I329" s="272"/>
      <c r="J329" s="272"/>
      <c r="K329" s="272"/>
      <c r="L329" s="272"/>
      <c r="M329" s="523"/>
      <c r="N329" s="272"/>
      <c r="O329" s="272"/>
      <c r="P329" s="272"/>
      <c r="Q329" s="272"/>
      <c r="R329" s="272"/>
      <c r="S329" s="272"/>
      <c r="T329" s="272"/>
      <c r="U329" s="272"/>
      <c r="V329" s="272"/>
      <c r="W329" s="272"/>
      <c r="X329" s="272"/>
      <c r="Y329" s="272"/>
      <c r="Z329" s="272"/>
      <c r="AA329" s="272"/>
      <c r="AB329" s="272"/>
      <c r="AC329" s="272"/>
      <c r="AD329" s="272"/>
      <c r="AE329" s="272"/>
      <c r="AF329" s="272"/>
    </row>
    <row r="330" spans="1:32" ht="122.4" customHeight="1" thickBot="1" x14ac:dyDescent="0.45">
      <c r="A330" s="272"/>
      <c r="B330" s="272"/>
      <c r="C330" s="272"/>
      <c r="D330" s="650"/>
      <c r="E330" s="272"/>
      <c r="F330" s="379"/>
      <c r="G330" s="272"/>
      <c r="H330" s="272"/>
      <c r="I330" s="272"/>
      <c r="J330" s="272"/>
      <c r="K330" s="272"/>
      <c r="L330" s="272"/>
      <c r="M330" s="523"/>
      <c r="N330" s="272"/>
      <c r="O330" s="272"/>
      <c r="P330" s="272"/>
      <c r="Q330" s="272"/>
      <c r="R330" s="272"/>
      <c r="S330" s="272"/>
      <c r="T330" s="272"/>
      <c r="U330" s="272"/>
      <c r="V330" s="272"/>
      <c r="W330" s="272"/>
      <c r="X330" s="272"/>
      <c r="Y330" s="272"/>
      <c r="Z330" s="272"/>
      <c r="AA330" s="272"/>
      <c r="AB330" s="272"/>
      <c r="AC330" s="272"/>
      <c r="AD330" s="272"/>
      <c r="AE330" s="272"/>
      <c r="AF330" s="272"/>
    </row>
    <row r="331" spans="1:32" ht="122.4" customHeight="1" thickBot="1" x14ac:dyDescent="0.45">
      <c r="A331" s="272"/>
      <c r="B331" s="272"/>
      <c r="C331" s="272"/>
      <c r="D331" s="650"/>
      <c r="E331" s="272"/>
      <c r="F331" s="379"/>
      <c r="G331" s="272"/>
      <c r="H331" s="272"/>
      <c r="I331" s="272"/>
      <c r="J331" s="272"/>
      <c r="K331" s="272"/>
      <c r="L331" s="272"/>
      <c r="M331" s="523"/>
      <c r="N331" s="272"/>
      <c r="O331" s="272"/>
      <c r="P331" s="272"/>
      <c r="Q331" s="272"/>
      <c r="R331" s="272"/>
      <c r="S331" s="272"/>
      <c r="T331" s="272"/>
      <c r="U331" s="272"/>
      <c r="V331" s="272"/>
      <c r="W331" s="272"/>
      <c r="X331" s="272"/>
      <c r="Y331" s="272"/>
      <c r="Z331" s="272"/>
      <c r="AA331" s="272"/>
      <c r="AB331" s="272"/>
      <c r="AC331" s="272"/>
      <c r="AD331" s="272"/>
      <c r="AE331" s="272"/>
      <c r="AF331" s="272"/>
    </row>
    <row r="332" spans="1:32" ht="122.4" customHeight="1" thickBot="1" x14ac:dyDescent="0.45">
      <c r="A332" s="272"/>
      <c r="B332" s="272"/>
      <c r="C332" s="272"/>
      <c r="D332" s="650"/>
      <c r="E332" s="272"/>
      <c r="F332" s="379"/>
      <c r="G332" s="272"/>
      <c r="H332" s="272"/>
      <c r="I332" s="272"/>
      <c r="J332" s="272"/>
      <c r="K332" s="272"/>
      <c r="L332" s="272"/>
      <c r="M332" s="523"/>
      <c r="N332" s="272"/>
      <c r="O332" s="272"/>
      <c r="P332" s="272"/>
      <c r="Q332" s="272"/>
      <c r="R332" s="272"/>
      <c r="S332" s="272"/>
      <c r="T332" s="272"/>
      <c r="U332" s="272"/>
      <c r="V332" s="272"/>
      <c r="W332" s="272"/>
      <c r="X332" s="272"/>
      <c r="Y332" s="272"/>
      <c r="Z332" s="272"/>
      <c r="AA332" s="272"/>
      <c r="AB332" s="272"/>
      <c r="AC332" s="272"/>
      <c r="AD332" s="272"/>
      <c r="AE332" s="272"/>
      <c r="AF332" s="272"/>
    </row>
    <row r="333" spans="1:32" ht="122.4" customHeight="1" thickBot="1" x14ac:dyDescent="0.45">
      <c r="A333" s="272"/>
      <c r="B333" s="272"/>
      <c r="C333" s="272"/>
      <c r="D333" s="650"/>
      <c r="E333" s="272"/>
      <c r="F333" s="379"/>
      <c r="G333" s="272"/>
      <c r="H333" s="272"/>
      <c r="I333" s="272"/>
      <c r="J333" s="272"/>
      <c r="K333" s="272"/>
      <c r="L333" s="272"/>
      <c r="M333" s="523"/>
      <c r="N333" s="272"/>
      <c r="O333" s="272"/>
      <c r="P333" s="272"/>
      <c r="Q333" s="272"/>
      <c r="R333" s="272"/>
      <c r="S333" s="272"/>
      <c r="T333" s="272"/>
      <c r="U333" s="272"/>
      <c r="V333" s="272"/>
      <c r="W333" s="272"/>
      <c r="X333" s="272"/>
      <c r="Y333" s="272"/>
      <c r="Z333" s="272"/>
      <c r="AA333" s="272"/>
      <c r="AB333" s="272"/>
      <c r="AC333" s="272"/>
      <c r="AD333" s="272"/>
      <c r="AE333" s="272"/>
      <c r="AF333" s="272"/>
    </row>
    <row r="334" spans="1:32" ht="122.4" customHeight="1" thickBot="1" x14ac:dyDescent="0.45">
      <c r="A334" s="272"/>
      <c r="B334" s="272"/>
      <c r="C334" s="272"/>
      <c r="D334" s="650"/>
      <c r="E334" s="272"/>
      <c r="F334" s="379"/>
      <c r="G334" s="272"/>
      <c r="H334" s="272"/>
      <c r="I334" s="272"/>
      <c r="J334" s="272"/>
      <c r="K334" s="272"/>
      <c r="L334" s="272"/>
      <c r="M334" s="523"/>
      <c r="N334" s="272"/>
      <c r="O334" s="272"/>
      <c r="P334" s="272"/>
      <c r="Q334" s="272"/>
      <c r="R334" s="272"/>
      <c r="S334" s="272"/>
      <c r="T334" s="272"/>
      <c r="U334" s="272"/>
      <c r="V334" s="272"/>
      <c r="W334" s="272"/>
      <c r="X334" s="272"/>
      <c r="Y334" s="272"/>
      <c r="Z334" s="272"/>
      <c r="AA334" s="272"/>
      <c r="AB334" s="272"/>
      <c r="AC334" s="272"/>
      <c r="AD334" s="272"/>
      <c r="AE334" s="272"/>
      <c r="AF334" s="272"/>
    </row>
    <row r="335" spans="1:32" ht="122.4" customHeight="1" thickBot="1" x14ac:dyDescent="0.45">
      <c r="A335" s="272"/>
      <c r="B335" s="272"/>
      <c r="C335" s="272"/>
      <c r="D335" s="650"/>
      <c r="E335" s="272"/>
      <c r="F335" s="379"/>
      <c r="G335" s="272"/>
      <c r="H335" s="272"/>
      <c r="I335" s="272"/>
      <c r="J335" s="272"/>
      <c r="K335" s="272"/>
      <c r="L335" s="272"/>
      <c r="M335" s="523"/>
      <c r="N335" s="272"/>
      <c r="O335" s="272"/>
      <c r="P335" s="272"/>
      <c r="Q335" s="272"/>
      <c r="R335" s="272"/>
      <c r="S335" s="272"/>
      <c r="T335" s="272"/>
      <c r="U335" s="272"/>
      <c r="V335" s="272"/>
      <c r="W335" s="272"/>
      <c r="X335" s="272"/>
      <c r="Y335" s="272"/>
      <c r="Z335" s="272"/>
      <c r="AA335" s="272"/>
      <c r="AB335" s="272"/>
      <c r="AC335" s="272"/>
      <c r="AD335" s="272"/>
      <c r="AE335" s="272"/>
      <c r="AF335" s="272"/>
    </row>
    <row r="336" spans="1:32" ht="122.4" customHeight="1" thickBot="1" x14ac:dyDescent="0.45">
      <c r="A336" s="272"/>
      <c r="B336" s="272"/>
      <c r="C336" s="272"/>
      <c r="D336" s="650"/>
      <c r="E336" s="272"/>
      <c r="F336" s="379"/>
      <c r="G336" s="272"/>
      <c r="H336" s="272"/>
      <c r="I336" s="272"/>
      <c r="J336" s="272"/>
      <c r="K336" s="272"/>
      <c r="L336" s="272"/>
      <c r="M336" s="523"/>
      <c r="N336" s="272"/>
      <c r="O336" s="272"/>
      <c r="P336" s="272"/>
      <c r="Q336" s="272"/>
      <c r="R336" s="272"/>
      <c r="S336" s="272"/>
      <c r="T336" s="272"/>
      <c r="U336" s="272"/>
      <c r="V336" s="272"/>
      <c r="W336" s="272"/>
      <c r="X336" s="272"/>
      <c r="Y336" s="272"/>
      <c r="Z336" s="272"/>
      <c r="AA336" s="272"/>
      <c r="AB336" s="272"/>
      <c r="AC336" s="272"/>
      <c r="AD336" s="272"/>
      <c r="AE336" s="272"/>
      <c r="AF336" s="272"/>
    </row>
    <row r="337" spans="1:32" ht="122.4" customHeight="1" thickBot="1" x14ac:dyDescent="0.45">
      <c r="A337" s="272"/>
      <c r="B337" s="272"/>
      <c r="C337" s="272"/>
      <c r="D337" s="650"/>
      <c r="E337" s="272"/>
      <c r="F337" s="379"/>
      <c r="G337" s="272"/>
      <c r="H337" s="272"/>
      <c r="I337" s="272"/>
      <c r="J337" s="272"/>
      <c r="K337" s="272"/>
      <c r="L337" s="272"/>
      <c r="M337" s="523"/>
      <c r="N337" s="272"/>
      <c r="O337" s="272"/>
      <c r="P337" s="272"/>
      <c r="Q337" s="272"/>
      <c r="R337" s="272"/>
      <c r="S337" s="272"/>
      <c r="T337" s="272"/>
      <c r="U337" s="272"/>
      <c r="V337" s="272"/>
      <c r="W337" s="272"/>
      <c r="X337" s="272"/>
      <c r="Y337" s="272"/>
      <c r="Z337" s="272"/>
      <c r="AA337" s="272"/>
      <c r="AB337" s="272"/>
      <c r="AC337" s="272"/>
      <c r="AD337" s="272"/>
      <c r="AE337" s="272"/>
      <c r="AF337" s="272"/>
    </row>
    <row r="338" spans="1:32" ht="122.4" customHeight="1" thickBot="1" x14ac:dyDescent="0.45">
      <c r="A338" s="272"/>
      <c r="B338" s="272"/>
      <c r="C338" s="272"/>
      <c r="D338" s="650"/>
      <c r="E338" s="272"/>
      <c r="F338" s="379"/>
      <c r="G338" s="272"/>
      <c r="H338" s="272"/>
      <c r="I338" s="272"/>
      <c r="J338" s="272"/>
      <c r="K338" s="272"/>
      <c r="L338" s="272"/>
      <c r="M338" s="523"/>
      <c r="N338" s="272"/>
      <c r="O338" s="272"/>
      <c r="P338" s="272"/>
      <c r="Q338" s="272"/>
      <c r="R338" s="272"/>
      <c r="S338" s="272"/>
      <c r="T338" s="272"/>
      <c r="U338" s="272"/>
      <c r="V338" s="272"/>
      <c r="W338" s="272"/>
      <c r="X338" s="272"/>
      <c r="Y338" s="272"/>
      <c r="Z338" s="272"/>
      <c r="AA338" s="272"/>
      <c r="AB338" s="272"/>
      <c r="AC338" s="272"/>
      <c r="AD338" s="272"/>
      <c r="AE338" s="272"/>
      <c r="AF338" s="272"/>
    </row>
    <row r="339" spans="1:32" ht="122.4" customHeight="1" thickBot="1" x14ac:dyDescent="0.45">
      <c r="A339" s="272"/>
      <c r="B339" s="272"/>
      <c r="C339" s="272"/>
      <c r="D339" s="650"/>
      <c r="E339" s="272"/>
      <c r="F339" s="379"/>
      <c r="G339" s="272"/>
      <c r="H339" s="272"/>
      <c r="I339" s="272"/>
      <c r="J339" s="272"/>
      <c r="K339" s="272"/>
      <c r="L339" s="272"/>
      <c r="M339" s="523"/>
      <c r="N339" s="272"/>
      <c r="O339" s="272"/>
      <c r="P339" s="272"/>
      <c r="Q339" s="272"/>
      <c r="R339" s="272"/>
      <c r="S339" s="272"/>
      <c r="T339" s="272"/>
      <c r="U339" s="272"/>
      <c r="V339" s="272"/>
      <c r="W339" s="272"/>
      <c r="X339" s="272"/>
      <c r="Y339" s="272"/>
      <c r="Z339" s="272"/>
      <c r="AA339" s="272"/>
      <c r="AB339" s="272"/>
      <c r="AC339" s="272"/>
      <c r="AD339" s="272"/>
      <c r="AE339" s="272"/>
      <c r="AF339" s="272"/>
    </row>
    <row r="340" spans="1:32" ht="122.4" customHeight="1" thickBot="1" x14ac:dyDescent="0.45">
      <c r="A340" s="272"/>
      <c r="B340" s="272"/>
      <c r="C340" s="272"/>
      <c r="D340" s="650"/>
      <c r="E340" s="272"/>
      <c r="F340" s="379"/>
      <c r="G340" s="272"/>
      <c r="H340" s="272"/>
      <c r="I340" s="272"/>
      <c r="J340" s="272"/>
      <c r="K340" s="272"/>
      <c r="L340" s="272"/>
      <c r="M340" s="523"/>
      <c r="N340" s="272"/>
      <c r="O340" s="272"/>
      <c r="P340" s="272"/>
      <c r="Q340" s="272"/>
      <c r="R340" s="272"/>
      <c r="S340" s="272"/>
      <c r="T340" s="272"/>
      <c r="U340" s="272"/>
      <c r="V340" s="272"/>
      <c r="W340" s="272"/>
      <c r="X340" s="272"/>
      <c r="Y340" s="272"/>
      <c r="Z340" s="272"/>
      <c r="AA340" s="272"/>
      <c r="AB340" s="272"/>
      <c r="AC340" s="272"/>
      <c r="AD340" s="272"/>
      <c r="AE340" s="272"/>
      <c r="AF340" s="272"/>
    </row>
    <row r="341" spans="1:32" ht="122.4" customHeight="1" thickBot="1" x14ac:dyDescent="0.45">
      <c r="A341" s="272"/>
      <c r="B341" s="272"/>
      <c r="C341" s="272"/>
      <c r="D341" s="650"/>
      <c r="E341" s="272"/>
      <c r="F341" s="379"/>
      <c r="G341" s="272"/>
      <c r="H341" s="272"/>
      <c r="I341" s="272"/>
      <c r="J341" s="272"/>
      <c r="K341" s="272"/>
      <c r="L341" s="272"/>
      <c r="M341" s="523"/>
      <c r="N341" s="272"/>
      <c r="O341" s="272"/>
      <c r="P341" s="272"/>
      <c r="Q341" s="272"/>
      <c r="R341" s="272"/>
      <c r="S341" s="272"/>
      <c r="T341" s="272"/>
      <c r="U341" s="272"/>
      <c r="V341" s="272"/>
      <c r="W341" s="272"/>
      <c r="X341" s="272"/>
      <c r="Y341" s="272"/>
      <c r="Z341" s="272"/>
      <c r="AA341" s="272"/>
      <c r="AB341" s="272"/>
      <c r="AC341" s="272"/>
      <c r="AD341" s="272"/>
      <c r="AE341" s="272"/>
      <c r="AF341" s="272"/>
    </row>
    <row r="342" spans="1:32" ht="122.4" customHeight="1" thickBot="1" x14ac:dyDescent="0.45">
      <c r="A342" s="272"/>
      <c r="B342" s="272"/>
      <c r="C342" s="272"/>
      <c r="D342" s="650"/>
      <c r="E342" s="272"/>
      <c r="F342" s="379"/>
      <c r="G342" s="272"/>
      <c r="H342" s="272"/>
      <c r="I342" s="272"/>
      <c r="J342" s="272"/>
      <c r="K342" s="272"/>
      <c r="L342" s="272"/>
      <c r="M342" s="523"/>
      <c r="N342" s="272"/>
      <c r="O342" s="272"/>
      <c r="P342" s="272"/>
      <c r="Q342" s="272"/>
      <c r="R342" s="272"/>
      <c r="S342" s="272"/>
      <c r="T342" s="272"/>
      <c r="U342" s="272"/>
      <c r="V342" s="272"/>
      <c r="W342" s="272"/>
      <c r="X342" s="272"/>
      <c r="Y342" s="272"/>
      <c r="Z342" s="272"/>
      <c r="AA342" s="272"/>
      <c r="AB342" s="272"/>
      <c r="AC342" s="272"/>
      <c r="AD342" s="272"/>
      <c r="AE342" s="272"/>
      <c r="AF342" s="272"/>
    </row>
    <row r="343" spans="1:32" ht="122.4" customHeight="1" thickBot="1" x14ac:dyDescent="0.45">
      <c r="A343" s="272"/>
      <c r="B343" s="272"/>
      <c r="C343" s="272"/>
      <c r="D343" s="650"/>
      <c r="E343" s="272"/>
      <c r="F343" s="379"/>
      <c r="G343" s="272"/>
      <c r="H343" s="272"/>
      <c r="I343" s="272"/>
      <c r="J343" s="272"/>
      <c r="K343" s="272"/>
      <c r="L343" s="272"/>
      <c r="M343" s="523"/>
      <c r="N343" s="272"/>
      <c r="O343" s="272"/>
      <c r="P343" s="272"/>
      <c r="Q343" s="272"/>
      <c r="R343" s="272"/>
      <c r="S343" s="272"/>
      <c r="T343" s="272"/>
      <c r="U343" s="272"/>
      <c r="V343" s="272"/>
      <c r="W343" s="272"/>
      <c r="X343" s="272"/>
      <c r="Y343" s="272"/>
      <c r="Z343" s="272"/>
      <c r="AA343" s="272"/>
      <c r="AB343" s="272"/>
      <c r="AC343" s="272"/>
      <c r="AD343" s="272"/>
      <c r="AE343" s="272"/>
      <c r="AF343" s="272"/>
    </row>
    <row r="344" spans="1:32" ht="122.4" customHeight="1" thickBot="1" x14ac:dyDescent="0.45">
      <c r="A344" s="272"/>
      <c r="B344" s="272"/>
      <c r="C344" s="272"/>
      <c r="D344" s="650"/>
      <c r="E344" s="272"/>
      <c r="F344" s="379"/>
      <c r="G344" s="272"/>
      <c r="H344" s="272"/>
      <c r="I344" s="272"/>
      <c r="J344" s="272"/>
      <c r="K344" s="272"/>
      <c r="L344" s="272"/>
      <c r="M344" s="523"/>
      <c r="N344" s="272"/>
      <c r="O344" s="272"/>
      <c r="P344" s="272"/>
      <c r="Q344" s="272"/>
      <c r="R344" s="272"/>
      <c r="S344" s="272"/>
      <c r="T344" s="272"/>
      <c r="U344" s="272"/>
      <c r="V344" s="272"/>
      <c r="W344" s="272"/>
      <c r="X344" s="272"/>
      <c r="Y344" s="272"/>
      <c r="Z344" s="272"/>
      <c r="AA344" s="272"/>
      <c r="AB344" s="272"/>
      <c r="AC344" s="272"/>
      <c r="AD344" s="272"/>
      <c r="AE344" s="272"/>
      <c r="AF344" s="272"/>
    </row>
    <row r="345" spans="1:32" ht="122.4" customHeight="1" thickBot="1" x14ac:dyDescent="0.45">
      <c r="A345" s="272"/>
      <c r="B345" s="272"/>
      <c r="C345" s="272"/>
      <c r="D345" s="650"/>
      <c r="E345" s="272"/>
      <c r="F345" s="379"/>
      <c r="G345" s="272"/>
      <c r="H345" s="272"/>
      <c r="I345" s="272"/>
      <c r="J345" s="272"/>
      <c r="K345" s="272"/>
      <c r="L345" s="272"/>
      <c r="M345" s="523"/>
      <c r="N345" s="272"/>
      <c r="O345" s="272"/>
      <c r="P345" s="272"/>
      <c r="Q345" s="272"/>
      <c r="R345" s="272"/>
      <c r="S345" s="272"/>
      <c r="T345" s="272"/>
      <c r="U345" s="272"/>
      <c r="V345" s="272"/>
      <c r="W345" s="272"/>
      <c r="X345" s="272"/>
      <c r="Y345" s="272"/>
      <c r="Z345" s="272"/>
      <c r="AA345" s="272"/>
      <c r="AB345" s="272"/>
      <c r="AC345" s="272"/>
      <c r="AD345" s="272"/>
      <c r="AE345" s="272"/>
      <c r="AF345" s="272"/>
    </row>
    <row r="346" spans="1:32" ht="122.4" customHeight="1" thickBot="1" x14ac:dyDescent="0.45">
      <c r="A346" s="272"/>
      <c r="B346" s="272"/>
      <c r="C346" s="272"/>
      <c r="D346" s="650"/>
      <c r="E346" s="272"/>
      <c r="F346" s="379"/>
      <c r="G346" s="272"/>
      <c r="H346" s="272"/>
      <c r="I346" s="272"/>
      <c r="J346" s="272"/>
      <c r="K346" s="272"/>
      <c r="L346" s="272"/>
      <c r="M346" s="523"/>
      <c r="N346" s="272"/>
      <c r="O346" s="272"/>
      <c r="P346" s="272"/>
      <c r="Q346" s="272"/>
      <c r="R346" s="272"/>
      <c r="S346" s="272"/>
      <c r="T346" s="272"/>
      <c r="U346" s="272"/>
      <c r="V346" s="272"/>
      <c r="W346" s="272"/>
      <c r="X346" s="272"/>
      <c r="Y346" s="272"/>
      <c r="Z346" s="272"/>
      <c r="AA346" s="272"/>
      <c r="AB346" s="272"/>
      <c r="AC346" s="272"/>
      <c r="AD346" s="272"/>
      <c r="AE346" s="272"/>
      <c r="AF346" s="272"/>
    </row>
    <row r="347" spans="1:32" ht="122.4" customHeight="1" thickBot="1" x14ac:dyDescent="0.45">
      <c r="A347" s="272"/>
      <c r="B347" s="272"/>
      <c r="C347" s="272"/>
      <c r="D347" s="650"/>
      <c r="E347" s="272"/>
      <c r="F347" s="379"/>
      <c r="G347" s="272"/>
      <c r="H347" s="272"/>
      <c r="I347" s="272"/>
      <c r="J347" s="272"/>
      <c r="K347" s="272"/>
      <c r="L347" s="272"/>
      <c r="M347" s="523"/>
      <c r="N347" s="272"/>
      <c r="O347" s="272"/>
      <c r="P347" s="272"/>
      <c r="Q347" s="272"/>
      <c r="R347" s="272"/>
      <c r="S347" s="272"/>
      <c r="T347" s="272"/>
      <c r="U347" s="272"/>
      <c r="V347" s="272"/>
      <c r="W347" s="272"/>
      <c r="X347" s="272"/>
      <c r="Y347" s="272"/>
      <c r="Z347" s="272"/>
      <c r="AA347" s="272"/>
      <c r="AB347" s="272"/>
      <c r="AC347" s="272"/>
      <c r="AD347" s="272"/>
      <c r="AE347" s="272"/>
      <c r="AF347" s="272"/>
    </row>
    <row r="348" spans="1:32" ht="122.4" customHeight="1" thickBot="1" x14ac:dyDescent="0.45">
      <c r="A348" s="272"/>
      <c r="B348" s="272"/>
      <c r="C348" s="272"/>
      <c r="D348" s="650"/>
      <c r="E348" s="272"/>
      <c r="F348" s="379"/>
      <c r="G348" s="272"/>
      <c r="H348" s="272"/>
      <c r="I348" s="272"/>
      <c r="J348" s="272"/>
      <c r="K348" s="272"/>
      <c r="L348" s="272"/>
      <c r="M348" s="523"/>
      <c r="N348" s="272"/>
      <c r="O348" s="272"/>
      <c r="P348" s="272"/>
      <c r="Q348" s="272"/>
      <c r="R348" s="272"/>
      <c r="S348" s="272"/>
      <c r="T348" s="272"/>
      <c r="U348" s="272"/>
      <c r="V348" s="272"/>
      <c r="W348" s="272"/>
      <c r="X348" s="272"/>
      <c r="Y348" s="272"/>
      <c r="Z348" s="272"/>
      <c r="AA348" s="272"/>
      <c r="AB348" s="272"/>
      <c r="AC348" s="272"/>
      <c r="AD348" s="272"/>
      <c r="AE348" s="272"/>
      <c r="AF348" s="272"/>
    </row>
    <row r="349" spans="1:32" ht="122.4" customHeight="1" thickBot="1" x14ac:dyDescent="0.45">
      <c r="A349" s="272"/>
      <c r="B349" s="272"/>
      <c r="C349" s="272"/>
      <c r="D349" s="650"/>
      <c r="E349" s="272"/>
      <c r="F349" s="379"/>
      <c r="G349" s="272"/>
      <c r="H349" s="272"/>
      <c r="I349" s="272"/>
      <c r="J349" s="272"/>
      <c r="K349" s="272"/>
      <c r="L349" s="272"/>
      <c r="M349" s="523"/>
      <c r="N349" s="272"/>
      <c r="O349" s="272"/>
      <c r="P349" s="272"/>
      <c r="Q349" s="272"/>
      <c r="R349" s="272"/>
      <c r="S349" s="272"/>
      <c r="T349" s="272"/>
      <c r="U349" s="272"/>
      <c r="V349" s="272"/>
      <c r="W349" s="272"/>
      <c r="X349" s="272"/>
      <c r="Y349" s="272"/>
      <c r="Z349" s="272"/>
      <c r="AA349" s="272"/>
      <c r="AB349" s="272"/>
      <c r="AC349" s="272"/>
      <c r="AD349" s="272"/>
      <c r="AE349" s="272"/>
      <c r="AF349" s="272"/>
    </row>
    <row r="350" spans="1:32" ht="122.4" customHeight="1" thickBot="1" x14ac:dyDescent="0.45">
      <c r="A350" s="272"/>
      <c r="B350" s="272"/>
      <c r="C350" s="272"/>
      <c r="D350" s="650"/>
      <c r="E350" s="272"/>
      <c r="F350" s="379"/>
      <c r="G350" s="272"/>
      <c r="H350" s="272"/>
      <c r="I350" s="272"/>
      <c r="J350" s="272"/>
      <c r="K350" s="272"/>
      <c r="L350" s="272"/>
      <c r="M350" s="523"/>
      <c r="N350" s="272"/>
      <c r="O350" s="272"/>
      <c r="P350" s="272"/>
      <c r="Q350" s="272"/>
      <c r="R350" s="272"/>
      <c r="S350" s="272"/>
      <c r="T350" s="272"/>
      <c r="U350" s="272"/>
      <c r="V350" s="272"/>
      <c r="W350" s="272"/>
      <c r="X350" s="272"/>
      <c r="Y350" s="272"/>
      <c r="Z350" s="272"/>
      <c r="AA350" s="272"/>
      <c r="AB350" s="272"/>
      <c r="AC350" s="272"/>
      <c r="AD350" s="272"/>
      <c r="AE350" s="272"/>
      <c r="AF350" s="272"/>
    </row>
    <row r="351" spans="1:32" ht="122.4" customHeight="1" thickBot="1" x14ac:dyDescent="0.45">
      <c r="A351" s="272"/>
      <c r="B351" s="272"/>
      <c r="C351" s="272"/>
      <c r="D351" s="650"/>
      <c r="E351" s="272"/>
      <c r="F351" s="379"/>
      <c r="G351" s="272"/>
      <c r="H351" s="272"/>
      <c r="I351" s="272"/>
      <c r="J351" s="272"/>
      <c r="K351" s="272"/>
      <c r="L351" s="272"/>
      <c r="M351" s="523"/>
      <c r="N351" s="272"/>
      <c r="O351" s="272"/>
      <c r="P351" s="272"/>
      <c r="Q351" s="272"/>
      <c r="R351" s="272"/>
      <c r="S351" s="272"/>
      <c r="T351" s="272"/>
      <c r="U351" s="272"/>
      <c r="V351" s="272"/>
      <c r="W351" s="272"/>
      <c r="X351" s="272"/>
      <c r="Y351" s="272"/>
      <c r="Z351" s="272"/>
      <c r="AA351" s="272"/>
      <c r="AB351" s="272"/>
      <c r="AC351" s="272"/>
      <c r="AD351" s="272"/>
      <c r="AE351" s="272"/>
      <c r="AF351" s="272"/>
    </row>
    <row r="352" spans="1:32" ht="122.4" customHeight="1" thickBot="1" x14ac:dyDescent="0.45">
      <c r="A352" s="272"/>
      <c r="B352" s="272"/>
      <c r="C352" s="272"/>
      <c r="D352" s="650"/>
      <c r="E352" s="272"/>
      <c r="F352" s="379"/>
      <c r="G352" s="272"/>
      <c r="H352" s="272"/>
      <c r="I352" s="272"/>
      <c r="J352" s="272"/>
      <c r="K352" s="272"/>
      <c r="L352" s="272"/>
      <c r="M352" s="523"/>
      <c r="N352" s="272"/>
      <c r="O352" s="272"/>
      <c r="P352" s="272"/>
      <c r="Q352" s="272"/>
      <c r="R352" s="272"/>
      <c r="S352" s="272"/>
      <c r="T352" s="272"/>
      <c r="U352" s="272"/>
      <c r="V352" s="272"/>
      <c r="W352" s="272"/>
      <c r="X352" s="272"/>
      <c r="Y352" s="272"/>
      <c r="Z352" s="272"/>
      <c r="AA352" s="272"/>
      <c r="AB352" s="272"/>
      <c r="AC352" s="272"/>
      <c r="AD352" s="272"/>
      <c r="AE352" s="272"/>
      <c r="AF352" s="272"/>
    </row>
    <row r="353" spans="1:32" ht="122.4" customHeight="1" thickBot="1" x14ac:dyDescent="0.45">
      <c r="A353" s="272"/>
      <c r="B353" s="272"/>
      <c r="C353" s="272"/>
      <c r="D353" s="650"/>
      <c r="E353" s="272"/>
      <c r="F353" s="379"/>
      <c r="G353" s="272"/>
      <c r="H353" s="272"/>
      <c r="I353" s="272"/>
      <c r="J353" s="272"/>
      <c r="K353" s="272"/>
      <c r="L353" s="272"/>
      <c r="M353" s="523"/>
      <c r="N353" s="272"/>
      <c r="O353" s="272"/>
      <c r="P353" s="272"/>
      <c r="Q353" s="272"/>
      <c r="R353" s="272"/>
      <c r="S353" s="272"/>
      <c r="T353" s="272"/>
      <c r="U353" s="272"/>
      <c r="V353" s="272"/>
      <c r="W353" s="272"/>
      <c r="X353" s="272"/>
      <c r="Y353" s="272"/>
      <c r="Z353" s="272"/>
      <c r="AA353" s="272"/>
      <c r="AB353" s="272"/>
      <c r="AC353" s="272"/>
      <c r="AD353" s="272"/>
      <c r="AE353" s="272"/>
      <c r="AF353" s="272"/>
    </row>
    <row r="354" spans="1:32" ht="122.4" customHeight="1" thickBot="1" x14ac:dyDescent="0.45">
      <c r="A354" s="272"/>
      <c r="B354" s="272"/>
      <c r="C354" s="272"/>
      <c r="D354" s="650"/>
      <c r="E354" s="272"/>
      <c r="F354" s="379"/>
      <c r="G354" s="272"/>
      <c r="H354" s="272"/>
      <c r="I354" s="272"/>
      <c r="J354" s="272"/>
      <c r="K354" s="272"/>
      <c r="L354" s="272"/>
      <c r="M354" s="523"/>
      <c r="N354" s="272"/>
      <c r="O354" s="272"/>
      <c r="P354" s="272"/>
      <c r="Q354" s="272"/>
      <c r="R354" s="272"/>
      <c r="S354" s="272"/>
      <c r="T354" s="272"/>
      <c r="U354" s="272"/>
      <c r="V354" s="272"/>
      <c r="W354" s="272"/>
      <c r="X354" s="272"/>
      <c r="Y354" s="272"/>
      <c r="Z354" s="272"/>
      <c r="AA354" s="272"/>
      <c r="AB354" s="272"/>
      <c r="AC354" s="272"/>
      <c r="AD354" s="272"/>
      <c r="AE354" s="272"/>
      <c r="AF354" s="272"/>
    </row>
    <row r="355" spans="1:32" ht="122.4" customHeight="1" thickBot="1" x14ac:dyDescent="0.45">
      <c r="A355" s="272"/>
      <c r="B355" s="272"/>
      <c r="C355" s="272"/>
      <c r="D355" s="650"/>
      <c r="E355" s="272"/>
      <c r="F355" s="379"/>
      <c r="G355" s="272"/>
      <c r="H355" s="272"/>
      <c r="I355" s="272"/>
      <c r="J355" s="272"/>
      <c r="K355" s="272"/>
      <c r="L355" s="272"/>
      <c r="M355" s="523"/>
      <c r="N355" s="272"/>
      <c r="O355" s="272"/>
      <c r="P355" s="272"/>
      <c r="Q355" s="272"/>
      <c r="R355" s="272"/>
      <c r="S355" s="272"/>
      <c r="T355" s="272"/>
      <c r="U355" s="272"/>
      <c r="V355" s="272"/>
      <c r="W355" s="272"/>
      <c r="X355" s="272"/>
      <c r="Y355" s="272"/>
      <c r="Z355" s="272"/>
      <c r="AA355" s="272"/>
      <c r="AB355" s="272"/>
      <c r="AC355" s="272"/>
      <c r="AD355" s="272"/>
      <c r="AE355" s="272"/>
      <c r="AF355" s="272"/>
    </row>
    <row r="356" spans="1:32" ht="122.4" customHeight="1" thickBot="1" x14ac:dyDescent="0.45">
      <c r="A356" s="272"/>
      <c r="B356" s="272"/>
      <c r="C356" s="272"/>
      <c r="D356" s="650"/>
      <c r="E356" s="272"/>
      <c r="F356" s="379"/>
      <c r="G356" s="272"/>
      <c r="H356" s="272"/>
      <c r="I356" s="272"/>
      <c r="J356" s="272"/>
      <c r="K356" s="272"/>
      <c r="L356" s="272"/>
      <c r="M356" s="523"/>
      <c r="N356" s="272"/>
      <c r="O356" s="272"/>
      <c r="P356" s="272"/>
      <c r="Q356" s="272"/>
      <c r="R356" s="272"/>
      <c r="S356" s="272"/>
      <c r="T356" s="272"/>
      <c r="U356" s="272"/>
      <c r="V356" s="272"/>
      <c r="W356" s="272"/>
      <c r="X356" s="272"/>
      <c r="Y356" s="272"/>
      <c r="Z356" s="272"/>
      <c r="AA356" s="272"/>
      <c r="AB356" s="272"/>
      <c r="AC356" s="272"/>
      <c r="AD356" s="272"/>
      <c r="AE356" s="272"/>
      <c r="AF356" s="272"/>
    </row>
    <row r="357" spans="1:32" ht="122.4" customHeight="1" thickBot="1" x14ac:dyDescent="0.45">
      <c r="A357" s="272"/>
      <c r="B357" s="272"/>
      <c r="C357" s="272"/>
      <c r="D357" s="650"/>
      <c r="E357" s="272"/>
      <c r="F357" s="379"/>
      <c r="G357" s="272"/>
      <c r="H357" s="272"/>
      <c r="I357" s="272"/>
      <c r="J357" s="272"/>
      <c r="K357" s="272"/>
      <c r="L357" s="272"/>
      <c r="M357" s="523"/>
      <c r="N357" s="272"/>
      <c r="O357" s="272"/>
      <c r="P357" s="272"/>
      <c r="Q357" s="272"/>
      <c r="R357" s="272"/>
      <c r="S357" s="272"/>
      <c r="T357" s="272"/>
      <c r="U357" s="272"/>
      <c r="V357" s="272"/>
      <c r="W357" s="272"/>
      <c r="X357" s="272"/>
      <c r="Y357" s="272"/>
      <c r="Z357" s="272"/>
      <c r="AA357" s="272"/>
      <c r="AB357" s="272"/>
      <c r="AC357" s="272"/>
      <c r="AD357" s="272"/>
      <c r="AE357" s="272"/>
      <c r="AF357" s="272"/>
    </row>
    <row r="358" spans="1:32" ht="122.4" customHeight="1" thickBot="1" x14ac:dyDescent="0.45">
      <c r="A358" s="272"/>
      <c r="B358" s="272"/>
      <c r="C358" s="272"/>
      <c r="D358" s="650"/>
      <c r="E358" s="272"/>
      <c r="F358" s="379"/>
      <c r="G358" s="272"/>
      <c r="H358" s="272"/>
      <c r="I358" s="272"/>
      <c r="J358" s="272"/>
      <c r="K358" s="272"/>
      <c r="L358" s="272"/>
      <c r="M358" s="523"/>
      <c r="N358" s="272"/>
      <c r="O358" s="272"/>
      <c r="P358" s="272"/>
      <c r="Q358" s="272"/>
      <c r="R358" s="272"/>
      <c r="S358" s="272"/>
      <c r="T358" s="272"/>
      <c r="U358" s="272"/>
      <c r="V358" s="272"/>
      <c r="W358" s="272"/>
      <c r="X358" s="272"/>
      <c r="Y358" s="272"/>
      <c r="Z358" s="272"/>
      <c r="AA358" s="272"/>
      <c r="AB358" s="272"/>
      <c r="AC358" s="272"/>
      <c r="AD358" s="272"/>
      <c r="AE358" s="272"/>
      <c r="AF358" s="272"/>
    </row>
    <row r="359" spans="1:32" ht="122.4" customHeight="1" thickBot="1" x14ac:dyDescent="0.45">
      <c r="A359" s="272"/>
      <c r="B359" s="272"/>
      <c r="C359" s="272"/>
      <c r="D359" s="650"/>
      <c r="E359" s="272"/>
      <c r="F359" s="379"/>
      <c r="G359" s="272"/>
      <c r="H359" s="272"/>
      <c r="I359" s="272"/>
      <c r="J359" s="272"/>
      <c r="K359" s="272"/>
      <c r="L359" s="272"/>
      <c r="M359" s="523"/>
      <c r="N359" s="272"/>
      <c r="O359" s="272"/>
      <c r="P359" s="272"/>
      <c r="Q359" s="272"/>
      <c r="R359" s="272"/>
      <c r="S359" s="272"/>
      <c r="T359" s="272"/>
      <c r="U359" s="272"/>
      <c r="V359" s="272"/>
      <c r="W359" s="272"/>
      <c r="X359" s="272"/>
      <c r="Y359" s="272"/>
      <c r="Z359" s="272"/>
      <c r="AA359" s="272"/>
      <c r="AB359" s="272"/>
      <c r="AC359" s="272"/>
      <c r="AD359" s="272"/>
      <c r="AE359" s="272"/>
      <c r="AF359" s="272"/>
    </row>
    <row r="360" spans="1:32" ht="122.4" customHeight="1" thickBot="1" x14ac:dyDescent="0.45">
      <c r="A360" s="272"/>
      <c r="B360" s="272"/>
      <c r="C360" s="272"/>
      <c r="D360" s="650"/>
      <c r="E360" s="272"/>
      <c r="F360" s="379"/>
      <c r="G360" s="272"/>
      <c r="H360" s="272"/>
      <c r="I360" s="272"/>
      <c r="J360" s="272"/>
      <c r="K360" s="272"/>
      <c r="L360" s="272"/>
      <c r="M360" s="523"/>
      <c r="N360" s="272"/>
      <c r="O360" s="272"/>
      <c r="P360" s="272"/>
      <c r="Q360" s="272"/>
      <c r="R360" s="272"/>
      <c r="S360" s="272"/>
      <c r="T360" s="272"/>
      <c r="U360" s="272"/>
      <c r="V360" s="272"/>
      <c r="W360" s="272"/>
      <c r="X360" s="272"/>
      <c r="Y360" s="272"/>
      <c r="Z360" s="272"/>
      <c r="AA360" s="272"/>
      <c r="AB360" s="272"/>
      <c r="AC360" s="272"/>
      <c r="AD360" s="272"/>
      <c r="AE360" s="272"/>
      <c r="AF360" s="272"/>
    </row>
    <row r="361" spans="1:32" ht="122.4" customHeight="1" thickBot="1" x14ac:dyDescent="0.45">
      <c r="A361" s="272"/>
      <c r="B361" s="272"/>
      <c r="C361" s="272"/>
      <c r="D361" s="650"/>
      <c r="E361" s="272"/>
      <c r="F361" s="379"/>
      <c r="G361" s="272"/>
      <c r="H361" s="272"/>
      <c r="I361" s="272"/>
      <c r="J361" s="272"/>
      <c r="K361" s="272"/>
      <c r="L361" s="272"/>
      <c r="M361" s="523"/>
      <c r="N361" s="272"/>
      <c r="O361" s="272"/>
      <c r="P361" s="272"/>
      <c r="Q361" s="272"/>
      <c r="R361" s="272"/>
      <c r="S361" s="272"/>
      <c r="T361" s="272"/>
      <c r="U361" s="272"/>
      <c r="V361" s="272"/>
      <c r="W361" s="272"/>
      <c r="X361" s="272"/>
      <c r="Y361" s="272"/>
      <c r="Z361" s="272"/>
      <c r="AA361" s="272"/>
      <c r="AB361" s="272"/>
      <c r="AC361" s="272"/>
      <c r="AD361" s="272"/>
      <c r="AE361" s="272"/>
      <c r="AF361" s="272"/>
    </row>
    <row r="362" spans="1:32" ht="122.4" customHeight="1" thickBot="1" x14ac:dyDescent="0.45">
      <c r="A362" s="272"/>
      <c r="B362" s="272"/>
      <c r="C362" s="272"/>
      <c r="D362" s="650"/>
      <c r="E362" s="272"/>
      <c r="F362" s="379"/>
      <c r="G362" s="272"/>
      <c r="H362" s="272"/>
      <c r="I362" s="272"/>
      <c r="J362" s="272"/>
      <c r="K362" s="272"/>
      <c r="L362" s="272"/>
      <c r="M362" s="523"/>
      <c r="N362" s="272"/>
      <c r="O362" s="272"/>
      <c r="P362" s="272"/>
      <c r="Q362" s="272"/>
      <c r="R362" s="272"/>
      <c r="S362" s="272"/>
      <c r="T362" s="272"/>
      <c r="U362" s="272"/>
      <c r="V362" s="272"/>
      <c r="W362" s="272"/>
      <c r="X362" s="272"/>
      <c r="Y362" s="272"/>
      <c r="Z362" s="272"/>
      <c r="AA362" s="272"/>
      <c r="AB362" s="272"/>
      <c r="AC362" s="272"/>
      <c r="AD362" s="272"/>
      <c r="AE362" s="272"/>
      <c r="AF362" s="272"/>
    </row>
    <row r="363" spans="1:32" ht="122.4" customHeight="1" thickBot="1" x14ac:dyDescent="0.45">
      <c r="A363" s="272"/>
      <c r="B363" s="272"/>
      <c r="C363" s="272"/>
      <c r="D363" s="650"/>
      <c r="E363" s="272"/>
      <c r="F363" s="379"/>
      <c r="G363" s="272"/>
      <c r="H363" s="272"/>
      <c r="I363" s="272"/>
      <c r="J363" s="272"/>
      <c r="K363" s="272"/>
      <c r="L363" s="272"/>
      <c r="M363" s="523"/>
      <c r="N363" s="272"/>
      <c r="O363" s="272"/>
      <c r="P363" s="272"/>
      <c r="Q363" s="272"/>
      <c r="R363" s="272"/>
      <c r="S363" s="272"/>
      <c r="T363" s="272"/>
      <c r="U363" s="272"/>
      <c r="V363" s="272"/>
      <c r="W363" s="272"/>
      <c r="X363" s="272"/>
      <c r="Y363" s="272"/>
      <c r="Z363" s="272"/>
      <c r="AA363" s="272"/>
      <c r="AB363" s="272"/>
      <c r="AC363" s="272"/>
      <c r="AD363" s="272"/>
      <c r="AE363" s="272"/>
      <c r="AF363" s="272"/>
    </row>
    <row r="364" spans="1:32" ht="122.4" customHeight="1" thickBot="1" x14ac:dyDescent="0.45">
      <c r="A364" s="272"/>
      <c r="B364" s="272"/>
      <c r="C364" s="272"/>
      <c r="D364" s="650"/>
      <c r="E364" s="272"/>
      <c r="F364" s="379"/>
      <c r="G364" s="272"/>
      <c r="H364" s="272"/>
      <c r="I364" s="272"/>
      <c r="J364" s="272"/>
      <c r="K364" s="272"/>
      <c r="L364" s="272"/>
      <c r="M364" s="523"/>
      <c r="N364" s="272"/>
      <c r="O364" s="272"/>
      <c r="P364" s="272"/>
      <c r="Q364" s="272"/>
      <c r="R364" s="272"/>
      <c r="S364" s="272"/>
      <c r="T364" s="272"/>
      <c r="U364" s="272"/>
      <c r="V364" s="272"/>
      <c r="W364" s="272"/>
      <c r="X364" s="272"/>
      <c r="Y364" s="272"/>
      <c r="Z364" s="272"/>
      <c r="AA364" s="272"/>
      <c r="AB364" s="272"/>
      <c r="AC364" s="272"/>
      <c r="AD364" s="272"/>
      <c r="AE364" s="272"/>
      <c r="AF364" s="272"/>
    </row>
    <row r="365" spans="1:32" ht="122.4" customHeight="1" thickBot="1" x14ac:dyDescent="0.45">
      <c r="A365" s="272"/>
      <c r="B365" s="272"/>
      <c r="C365" s="272"/>
      <c r="D365" s="650"/>
      <c r="E365" s="272"/>
      <c r="F365" s="379"/>
      <c r="G365" s="272"/>
      <c r="H365" s="272"/>
      <c r="I365" s="272"/>
      <c r="J365" s="272"/>
      <c r="K365" s="272"/>
      <c r="L365" s="272"/>
      <c r="M365" s="523"/>
      <c r="N365" s="272"/>
      <c r="O365" s="272"/>
      <c r="P365" s="272"/>
      <c r="Q365" s="272"/>
      <c r="R365" s="272"/>
      <c r="S365" s="272"/>
      <c r="T365" s="272"/>
      <c r="U365" s="272"/>
      <c r="V365" s="272"/>
      <c r="W365" s="272"/>
      <c r="X365" s="272"/>
      <c r="Y365" s="272"/>
      <c r="Z365" s="272"/>
      <c r="AA365" s="272"/>
      <c r="AB365" s="272"/>
      <c r="AC365" s="272"/>
      <c r="AD365" s="272"/>
      <c r="AE365" s="272"/>
      <c r="AF365" s="272"/>
    </row>
    <row r="366" spans="1:32" ht="122.4" customHeight="1" thickBot="1" x14ac:dyDescent="0.45">
      <c r="A366" s="272"/>
      <c r="B366" s="272"/>
      <c r="C366" s="272"/>
      <c r="D366" s="650"/>
      <c r="E366" s="272"/>
      <c r="F366" s="379"/>
      <c r="G366" s="272"/>
      <c r="H366" s="272"/>
      <c r="I366" s="272"/>
      <c r="J366" s="272"/>
      <c r="K366" s="272"/>
      <c r="L366" s="272"/>
      <c r="M366" s="523"/>
      <c r="N366" s="272"/>
      <c r="O366" s="272"/>
      <c r="P366" s="272"/>
      <c r="Q366" s="272"/>
      <c r="R366" s="272"/>
      <c r="S366" s="272"/>
      <c r="T366" s="272"/>
      <c r="U366" s="272"/>
      <c r="V366" s="272"/>
      <c r="W366" s="272"/>
      <c r="X366" s="272"/>
      <c r="Y366" s="272"/>
      <c r="Z366" s="272"/>
      <c r="AA366" s="272"/>
      <c r="AB366" s="272"/>
      <c r="AC366" s="272"/>
      <c r="AD366" s="272"/>
      <c r="AE366" s="272"/>
      <c r="AF366" s="272"/>
    </row>
    <row r="367" spans="1:32" ht="122.4" customHeight="1" thickBot="1" x14ac:dyDescent="0.45">
      <c r="A367" s="272"/>
      <c r="B367" s="272"/>
      <c r="C367" s="272"/>
      <c r="D367" s="650"/>
      <c r="E367" s="272"/>
      <c r="F367" s="379"/>
      <c r="G367" s="272"/>
      <c r="H367" s="272"/>
      <c r="I367" s="272"/>
      <c r="J367" s="272"/>
      <c r="K367" s="272"/>
      <c r="L367" s="272"/>
      <c r="M367" s="523"/>
      <c r="N367" s="272"/>
      <c r="O367" s="272"/>
      <c r="P367" s="272"/>
      <c r="Q367" s="272"/>
      <c r="R367" s="272"/>
      <c r="S367" s="272"/>
      <c r="T367" s="272"/>
      <c r="U367" s="272"/>
      <c r="V367" s="272"/>
      <c r="W367" s="272"/>
      <c r="X367" s="272"/>
      <c r="Y367" s="272"/>
      <c r="Z367" s="272"/>
      <c r="AA367" s="272"/>
      <c r="AB367" s="272"/>
      <c r="AC367" s="272"/>
      <c r="AD367" s="272"/>
      <c r="AE367" s="272"/>
      <c r="AF367" s="272"/>
    </row>
    <row r="368" spans="1:32" ht="122.4" customHeight="1" thickBot="1" x14ac:dyDescent="0.45">
      <c r="A368" s="272"/>
      <c r="B368" s="272"/>
      <c r="C368" s="272"/>
      <c r="D368" s="650"/>
      <c r="E368" s="272"/>
      <c r="F368" s="379"/>
      <c r="G368" s="272"/>
      <c r="H368" s="272"/>
      <c r="I368" s="272"/>
      <c r="J368" s="272"/>
      <c r="K368" s="272"/>
      <c r="L368" s="272"/>
      <c r="M368" s="523"/>
      <c r="N368" s="272"/>
      <c r="O368" s="272"/>
      <c r="P368" s="272"/>
      <c r="Q368" s="272"/>
      <c r="R368" s="272"/>
      <c r="S368" s="272"/>
      <c r="T368" s="272"/>
      <c r="U368" s="272"/>
      <c r="V368" s="272"/>
      <c r="W368" s="272"/>
      <c r="X368" s="272"/>
      <c r="Y368" s="272"/>
      <c r="Z368" s="272"/>
      <c r="AA368" s="272"/>
      <c r="AB368" s="272"/>
      <c r="AC368" s="272"/>
      <c r="AD368" s="272"/>
      <c r="AE368" s="272"/>
      <c r="AF368" s="272"/>
    </row>
    <row r="369" spans="1:32" ht="122.4" customHeight="1" thickBot="1" x14ac:dyDescent="0.45">
      <c r="A369" s="272"/>
      <c r="B369" s="272"/>
      <c r="C369" s="272"/>
      <c r="D369" s="650"/>
      <c r="E369" s="272"/>
      <c r="F369" s="379"/>
      <c r="G369" s="272"/>
      <c r="H369" s="272"/>
      <c r="I369" s="272"/>
      <c r="J369" s="272"/>
      <c r="K369" s="272"/>
      <c r="L369" s="272"/>
      <c r="M369" s="523"/>
      <c r="N369" s="272"/>
      <c r="O369" s="272"/>
      <c r="P369" s="272"/>
      <c r="Q369" s="272"/>
      <c r="R369" s="272"/>
      <c r="S369" s="272"/>
      <c r="T369" s="272"/>
      <c r="U369" s="272"/>
      <c r="V369" s="272"/>
      <c r="W369" s="272"/>
      <c r="X369" s="272"/>
      <c r="Y369" s="272"/>
      <c r="Z369" s="272"/>
      <c r="AA369" s="272"/>
      <c r="AB369" s="272"/>
      <c r="AC369" s="272"/>
      <c r="AD369" s="272"/>
      <c r="AE369" s="272"/>
      <c r="AF369" s="272"/>
    </row>
    <row r="370" spans="1:32" ht="122.4" customHeight="1" thickBot="1" x14ac:dyDescent="0.45">
      <c r="A370" s="272"/>
      <c r="B370" s="272"/>
      <c r="C370" s="272"/>
      <c r="D370" s="650"/>
      <c r="E370" s="272"/>
      <c r="F370" s="379"/>
      <c r="G370" s="272"/>
      <c r="H370" s="272"/>
      <c r="I370" s="272"/>
      <c r="J370" s="272"/>
      <c r="K370" s="272"/>
      <c r="L370" s="272"/>
      <c r="M370" s="523"/>
      <c r="N370" s="272"/>
      <c r="O370" s="272"/>
      <c r="P370" s="272"/>
      <c r="Q370" s="272"/>
      <c r="R370" s="272"/>
      <c r="S370" s="272"/>
      <c r="T370" s="272"/>
      <c r="U370" s="272"/>
      <c r="V370" s="272"/>
      <c r="W370" s="272"/>
      <c r="X370" s="272"/>
      <c r="Y370" s="272"/>
      <c r="Z370" s="272"/>
      <c r="AA370" s="272"/>
      <c r="AB370" s="272"/>
      <c r="AC370" s="272"/>
      <c r="AD370" s="272"/>
      <c r="AE370" s="272"/>
      <c r="AF370" s="272"/>
    </row>
    <row r="371" spans="1:32" ht="122.4" customHeight="1" thickBot="1" x14ac:dyDescent="0.45">
      <c r="A371" s="272"/>
      <c r="B371" s="272"/>
      <c r="C371" s="272"/>
      <c r="D371" s="650"/>
      <c r="E371" s="272"/>
      <c r="F371" s="379"/>
      <c r="G371" s="272"/>
      <c r="H371" s="272"/>
      <c r="I371" s="272"/>
      <c r="J371" s="272"/>
      <c r="K371" s="272"/>
      <c r="L371" s="272"/>
      <c r="M371" s="523"/>
      <c r="N371" s="272"/>
      <c r="O371" s="272"/>
      <c r="P371" s="272"/>
      <c r="Q371" s="272"/>
      <c r="R371" s="272"/>
      <c r="S371" s="272"/>
      <c r="T371" s="272"/>
      <c r="U371" s="272"/>
      <c r="V371" s="272"/>
      <c r="W371" s="272"/>
      <c r="X371" s="272"/>
      <c r="Y371" s="272"/>
      <c r="Z371" s="272"/>
      <c r="AA371" s="272"/>
      <c r="AB371" s="272"/>
      <c r="AC371" s="272"/>
      <c r="AD371" s="272"/>
      <c r="AE371" s="272"/>
      <c r="AF371" s="272"/>
    </row>
    <row r="372" spans="1:32" ht="122.4" customHeight="1" thickBot="1" x14ac:dyDescent="0.45">
      <c r="A372" s="272"/>
      <c r="B372" s="272"/>
      <c r="C372" s="272"/>
      <c r="D372" s="650"/>
      <c r="E372" s="272"/>
      <c r="F372" s="379"/>
      <c r="G372" s="272"/>
      <c r="H372" s="272"/>
      <c r="I372" s="272"/>
      <c r="J372" s="272"/>
      <c r="K372" s="272"/>
      <c r="L372" s="272"/>
      <c r="M372" s="523"/>
      <c r="N372" s="272"/>
      <c r="O372" s="272"/>
      <c r="P372" s="272"/>
      <c r="Q372" s="272"/>
      <c r="R372" s="272"/>
      <c r="S372" s="272"/>
      <c r="T372" s="272"/>
      <c r="U372" s="272"/>
      <c r="V372" s="272"/>
      <c r="W372" s="272"/>
      <c r="X372" s="272"/>
      <c r="Y372" s="272"/>
      <c r="Z372" s="272"/>
      <c r="AA372" s="272"/>
      <c r="AB372" s="272"/>
      <c r="AC372" s="272"/>
      <c r="AD372" s="272"/>
      <c r="AE372" s="272"/>
      <c r="AF372" s="272"/>
    </row>
    <row r="373" spans="1:32" ht="122.4" customHeight="1" thickBot="1" x14ac:dyDescent="0.45">
      <c r="A373" s="272"/>
      <c r="B373" s="272"/>
      <c r="C373" s="272"/>
      <c r="D373" s="650"/>
      <c r="E373" s="272"/>
      <c r="F373" s="379"/>
      <c r="G373" s="272"/>
      <c r="H373" s="272"/>
      <c r="I373" s="272"/>
      <c r="J373" s="272"/>
      <c r="K373" s="272"/>
      <c r="L373" s="272"/>
      <c r="M373" s="523"/>
      <c r="N373" s="272"/>
      <c r="O373" s="272"/>
      <c r="P373" s="272"/>
      <c r="Q373" s="272"/>
      <c r="R373" s="272"/>
      <c r="S373" s="272"/>
      <c r="T373" s="272"/>
      <c r="U373" s="272"/>
      <c r="V373" s="272"/>
      <c r="W373" s="272"/>
      <c r="X373" s="272"/>
      <c r="Y373" s="272"/>
      <c r="Z373" s="272"/>
      <c r="AA373" s="272"/>
      <c r="AB373" s="272"/>
      <c r="AC373" s="272"/>
      <c r="AD373" s="272"/>
      <c r="AE373" s="272"/>
      <c r="AF373" s="272"/>
    </row>
    <row r="374" spans="1:32" ht="122.4" customHeight="1" thickBot="1" x14ac:dyDescent="0.45">
      <c r="A374" s="272"/>
      <c r="B374" s="272"/>
      <c r="C374" s="272"/>
      <c r="D374" s="650"/>
      <c r="E374" s="272"/>
      <c r="F374" s="379"/>
      <c r="G374" s="272"/>
      <c r="H374" s="272"/>
      <c r="I374" s="272"/>
      <c r="J374" s="272"/>
      <c r="K374" s="272"/>
      <c r="L374" s="272"/>
      <c r="M374" s="523"/>
      <c r="N374" s="272"/>
      <c r="O374" s="272"/>
      <c r="P374" s="272"/>
      <c r="Q374" s="272"/>
      <c r="R374" s="272"/>
      <c r="S374" s="272"/>
      <c r="T374" s="272"/>
      <c r="U374" s="272"/>
      <c r="V374" s="272"/>
      <c r="W374" s="272"/>
      <c r="X374" s="272"/>
      <c r="Y374" s="272"/>
      <c r="Z374" s="272"/>
      <c r="AA374" s="272"/>
      <c r="AB374" s="272"/>
      <c r="AC374" s="272"/>
      <c r="AD374" s="272"/>
      <c r="AE374" s="272"/>
      <c r="AF374" s="272"/>
    </row>
    <row r="375" spans="1:32" ht="122.4" customHeight="1" thickBot="1" x14ac:dyDescent="0.45">
      <c r="A375" s="272"/>
      <c r="B375" s="272"/>
      <c r="C375" s="272"/>
      <c r="D375" s="650"/>
      <c r="E375" s="272"/>
      <c r="F375" s="379"/>
      <c r="G375" s="272"/>
      <c r="H375" s="272"/>
      <c r="I375" s="272"/>
      <c r="J375" s="272"/>
      <c r="K375" s="272"/>
      <c r="L375" s="272"/>
      <c r="M375" s="523"/>
      <c r="N375" s="272"/>
      <c r="O375" s="272"/>
      <c r="P375" s="272"/>
      <c r="Q375" s="272"/>
      <c r="R375" s="272"/>
      <c r="S375" s="272"/>
      <c r="T375" s="272"/>
      <c r="U375" s="272"/>
      <c r="V375" s="272"/>
      <c r="W375" s="272"/>
      <c r="X375" s="272"/>
      <c r="Y375" s="272"/>
      <c r="Z375" s="272"/>
      <c r="AA375" s="272"/>
      <c r="AB375" s="272"/>
      <c r="AC375" s="272"/>
      <c r="AD375" s="272"/>
      <c r="AE375" s="272"/>
      <c r="AF375" s="272"/>
    </row>
    <row r="376" spans="1:32" ht="122.4" customHeight="1" thickBot="1" x14ac:dyDescent="0.45">
      <c r="A376" s="272"/>
      <c r="B376" s="272"/>
      <c r="C376" s="272"/>
      <c r="D376" s="650"/>
      <c r="E376" s="272"/>
      <c r="F376" s="379"/>
      <c r="G376" s="272"/>
      <c r="H376" s="272"/>
      <c r="I376" s="272"/>
      <c r="J376" s="272"/>
      <c r="K376" s="272"/>
      <c r="L376" s="272"/>
      <c r="M376" s="523"/>
      <c r="N376" s="272"/>
      <c r="O376" s="272"/>
      <c r="P376" s="272"/>
      <c r="Q376" s="272"/>
      <c r="R376" s="272"/>
      <c r="S376" s="272"/>
      <c r="T376" s="272"/>
      <c r="U376" s="272"/>
      <c r="V376" s="272"/>
      <c r="W376" s="272"/>
      <c r="X376" s="272"/>
      <c r="Y376" s="272"/>
      <c r="Z376" s="272"/>
      <c r="AA376" s="272"/>
      <c r="AB376" s="272"/>
      <c r="AC376" s="272"/>
      <c r="AD376" s="272"/>
      <c r="AE376" s="272"/>
      <c r="AF376" s="272"/>
    </row>
    <row r="377" spans="1:32" ht="122.4" customHeight="1" thickBot="1" x14ac:dyDescent="0.45">
      <c r="A377" s="272"/>
      <c r="B377" s="272"/>
      <c r="C377" s="272"/>
      <c r="D377" s="650"/>
      <c r="E377" s="272"/>
      <c r="F377" s="379"/>
      <c r="G377" s="272"/>
      <c r="H377" s="272"/>
      <c r="I377" s="272"/>
      <c r="J377" s="272"/>
      <c r="K377" s="272"/>
      <c r="L377" s="272"/>
      <c r="M377" s="523"/>
      <c r="N377" s="272"/>
      <c r="O377" s="272"/>
      <c r="P377" s="272"/>
      <c r="Q377" s="272"/>
      <c r="R377" s="272"/>
      <c r="S377" s="272"/>
      <c r="T377" s="272"/>
      <c r="U377" s="272"/>
      <c r="V377" s="272"/>
      <c r="W377" s="272"/>
      <c r="X377" s="272"/>
      <c r="Y377" s="272"/>
      <c r="Z377" s="272"/>
      <c r="AA377" s="272"/>
      <c r="AB377" s="272"/>
      <c r="AC377" s="272"/>
      <c r="AD377" s="272"/>
      <c r="AE377" s="272"/>
      <c r="AF377" s="272"/>
    </row>
    <row r="378" spans="1:32" ht="122.4" customHeight="1" thickBot="1" x14ac:dyDescent="0.45">
      <c r="A378" s="272"/>
      <c r="B378" s="272"/>
      <c r="C378" s="272"/>
      <c r="D378" s="650"/>
      <c r="E378" s="272"/>
      <c r="F378" s="379"/>
      <c r="G378" s="272"/>
      <c r="H378" s="272"/>
      <c r="I378" s="272"/>
      <c r="J378" s="272"/>
      <c r="K378" s="272"/>
      <c r="L378" s="272"/>
      <c r="M378" s="523"/>
      <c r="N378" s="272"/>
      <c r="O378" s="272"/>
      <c r="P378" s="272"/>
      <c r="Q378" s="272"/>
      <c r="R378" s="272"/>
      <c r="S378" s="272"/>
      <c r="T378" s="272"/>
      <c r="U378" s="272"/>
      <c r="V378" s="272"/>
      <c r="W378" s="272"/>
      <c r="X378" s="272"/>
      <c r="Y378" s="272"/>
      <c r="Z378" s="272"/>
      <c r="AA378" s="272"/>
      <c r="AB378" s="272"/>
      <c r="AC378" s="272"/>
      <c r="AD378" s="272"/>
      <c r="AE378" s="272"/>
      <c r="AF378" s="272"/>
    </row>
    <row r="379" spans="1:32" ht="122.4" customHeight="1" thickBot="1" x14ac:dyDescent="0.45">
      <c r="A379" s="272"/>
      <c r="B379" s="272"/>
      <c r="C379" s="272"/>
      <c r="D379" s="650"/>
      <c r="E379" s="272"/>
      <c r="F379" s="379"/>
      <c r="G379" s="272"/>
      <c r="H379" s="272"/>
      <c r="I379" s="272"/>
      <c r="J379" s="272"/>
      <c r="K379" s="272"/>
      <c r="L379" s="272"/>
      <c r="M379" s="523"/>
      <c r="N379" s="272"/>
      <c r="O379" s="272"/>
      <c r="P379" s="272"/>
      <c r="Q379" s="272"/>
      <c r="R379" s="272"/>
      <c r="S379" s="272"/>
      <c r="T379" s="272"/>
      <c r="U379" s="272"/>
      <c r="V379" s="272"/>
      <c r="W379" s="272"/>
      <c r="X379" s="272"/>
      <c r="Y379" s="272"/>
      <c r="Z379" s="272"/>
      <c r="AA379" s="272"/>
      <c r="AB379" s="272"/>
      <c r="AC379" s="272"/>
      <c r="AD379" s="272"/>
      <c r="AE379" s="272"/>
      <c r="AF379" s="272"/>
    </row>
    <row r="380" spans="1:32" ht="122.4" customHeight="1" thickBot="1" x14ac:dyDescent="0.45">
      <c r="A380" s="272"/>
      <c r="B380" s="272"/>
      <c r="C380" s="272"/>
      <c r="D380" s="650"/>
      <c r="E380" s="272"/>
      <c r="F380" s="379"/>
      <c r="G380" s="272"/>
      <c r="H380" s="272"/>
      <c r="I380" s="272"/>
      <c r="J380" s="272"/>
      <c r="K380" s="272"/>
      <c r="L380" s="272"/>
      <c r="M380" s="523"/>
      <c r="N380" s="272"/>
      <c r="O380" s="272"/>
      <c r="P380" s="272"/>
      <c r="Q380" s="272"/>
      <c r="R380" s="272"/>
      <c r="S380" s="272"/>
      <c r="T380" s="272"/>
      <c r="U380" s="272"/>
      <c r="V380" s="272"/>
      <c r="W380" s="272"/>
      <c r="X380" s="272"/>
      <c r="Y380" s="272"/>
      <c r="Z380" s="272"/>
      <c r="AA380" s="272"/>
      <c r="AB380" s="272"/>
      <c r="AC380" s="272"/>
      <c r="AD380" s="272"/>
      <c r="AE380" s="272"/>
      <c r="AF380" s="272"/>
    </row>
    <row r="381" spans="1:32" ht="122.4" customHeight="1" thickBot="1" x14ac:dyDescent="0.45">
      <c r="A381" s="272"/>
      <c r="B381" s="272"/>
      <c r="C381" s="272"/>
      <c r="D381" s="650"/>
      <c r="E381" s="272"/>
      <c r="F381" s="379"/>
      <c r="G381" s="272"/>
      <c r="H381" s="272"/>
      <c r="I381" s="272"/>
      <c r="J381" s="272"/>
      <c r="K381" s="272"/>
      <c r="L381" s="272"/>
      <c r="M381" s="523"/>
      <c r="N381" s="272"/>
      <c r="O381" s="272"/>
      <c r="P381" s="272"/>
      <c r="Q381" s="272"/>
      <c r="R381" s="272"/>
      <c r="S381" s="272"/>
      <c r="T381" s="272"/>
      <c r="U381" s="272"/>
      <c r="V381" s="272"/>
      <c r="W381" s="272"/>
      <c r="X381" s="272"/>
      <c r="Y381" s="272"/>
      <c r="Z381" s="272"/>
      <c r="AA381" s="272"/>
      <c r="AB381" s="272"/>
      <c r="AC381" s="272"/>
      <c r="AD381" s="272"/>
      <c r="AE381" s="272"/>
      <c r="AF381" s="272"/>
    </row>
    <row r="382" spans="1:32" ht="122.4" customHeight="1" thickBot="1" x14ac:dyDescent="0.45">
      <c r="A382" s="272"/>
      <c r="B382" s="272"/>
      <c r="C382" s="272"/>
      <c r="D382" s="650"/>
      <c r="E382" s="272"/>
      <c r="F382" s="379"/>
      <c r="G382" s="272"/>
      <c r="H382" s="272"/>
      <c r="I382" s="272"/>
      <c r="J382" s="272"/>
      <c r="K382" s="272"/>
      <c r="L382" s="272"/>
      <c r="M382" s="523"/>
      <c r="N382" s="272"/>
      <c r="O382" s="272"/>
      <c r="P382" s="272"/>
      <c r="Q382" s="272"/>
      <c r="R382" s="272"/>
      <c r="S382" s="272"/>
      <c r="T382" s="272"/>
      <c r="U382" s="272"/>
      <c r="V382" s="272"/>
      <c r="W382" s="272"/>
      <c r="X382" s="272"/>
      <c r="Y382" s="272"/>
      <c r="Z382" s="272"/>
      <c r="AA382" s="272"/>
      <c r="AB382" s="272"/>
      <c r="AC382" s="272"/>
      <c r="AD382" s="272"/>
      <c r="AE382" s="272"/>
      <c r="AF382" s="272"/>
    </row>
    <row r="383" spans="1:32" ht="122.4" customHeight="1" thickBot="1" x14ac:dyDescent="0.45">
      <c r="A383" s="272"/>
      <c r="B383" s="272"/>
      <c r="C383" s="272"/>
      <c r="D383" s="650"/>
      <c r="E383" s="272"/>
      <c r="F383" s="379"/>
      <c r="G383" s="272"/>
      <c r="H383" s="272"/>
      <c r="I383" s="272"/>
      <c r="J383" s="272"/>
      <c r="K383" s="272"/>
      <c r="L383" s="272"/>
      <c r="M383" s="523"/>
      <c r="N383" s="272"/>
      <c r="O383" s="272"/>
      <c r="P383" s="272"/>
      <c r="Q383" s="272"/>
      <c r="R383" s="272"/>
      <c r="S383" s="272"/>
      <c r="T383" s="272"/>
      <c r="U383" s="272"/>
      <c r="V383" s="272"/>
      <c r="W383" s="272"/>
      <c r="X383" s="272"/>
      <c r="Y383" s="272"/>
      <c r="Z383" s="272"/>
      <c r="AA383" s="272"/>
      <c r="AB383" s="272"/>
      <c r="AC383" s="272"/>
      <c r="AD383" s="272"/>
      <c r="AE383" s="272"/>
      <c r="AF383" s="272"/>
    </row>
    <row r="384" spans="1:32" ht="122.4" customHeight="1" thickBot="1" x14ac:dyDescent="0.45">
      <c r="A384" s="272"/>
      <c r="B384" s="272"/>
      <c r="C384" s="272"/>
      <c r="D384" s="650"/>
      <c r="E384" s="272"/>
      <c r="F384" s="379"/>
      <c r="G384" s="272"/>
      <c r="H384" s="272"/>
      <c r="I384" s="272"/>
      <c r="J384" s="272"/>
      <c r="K384" s="272"/>
      <c r="L384" s="272"/>
      <c r="M384" s="523"/>
      <c r="N384" s="272"/>
      <c r="O384" s="272"/>
      <c r="P384" s="272"/>
      <c r="Q384" s="272"/>
      <c r="R384" s="272"/>
      <c r="S384" s="272"/>
      <c r="T384" s="272"/>
      <c r="U384" s="272"/>
      <c r="V384" s="272"/>
      <c r="W384" s="272"/>
      <c r="X384" s="272"/>
      <c r="Y384" s="272"/>
      <c r="Z384" s="272"/>
      <c r="AA384" s="272"/>
      <c r="AB384" s="272"/>
      <c r="AC384" s="272"/>
      <c r="AD384" s="272"/>
      <c r="AE384" s="272"/>
      <c r="AF384" s="272"/>
    </row>
    <row r="385" spans="1:32" ht="122.4" customHeight="1" thickBot="1" x14ac:dyDescent="0.45">
      <c r="A385" s="272"/>
      <c r="B385" s="272"/>
      <c r="C385" s="272"/>
      <c r="D385" s="650"/>
      <c r="E385" s="272"/>
      <c r="F385" s="379"/>
      <c r="G385" s="272"/>
      <c r="H385" s="272"/>
      <c r="I385" s="272"/>
      <c r="J385" s="272"/>
      <c r="K385" s="272"/>
      <c r="L385" s="272"/>
      <c r="M385" s="523"/>
      <c r="N385" s="272"/>
      <c r="O385" s="272"/>
      <c r="P385" s="272"/>
      <c r="Q385" s="272"/>
      <c r="R385" s="272"/>
      <c r="S385" s="272"/>
      <c r="T385" s="272"/>
      <c r="U385" s="272"/>
      <c r="V385" s="272"/>
      <c r="W385" s="272"/>
      <c r="X385" s="272"/>
      <c r="Y385" s="272"/>
      <c r="Z385" s="272"/>
      <c r="AA385" s="272"/>
      <c r="AB385" s="272"/>
      <c r="AC385" s="272"/>
      <c r="AD385" s="272"/>
      <c r="AE385" s="272"/>
      <c r="AF385" s="272"/>
    </row>
    <row r="386" spans="1:32" ht="122.4" customHeight="1" thickBot="1" x14ac:dyDescent="0.45">
      <c r="A386" s="272"/>
      <c r="B386" s="272"/>
      <c r="C386" s="272"/>
      <c r="D386" s="650"/>
      <c r="E386" s="272"/>
      <c r="F386" s="379"/>
      <c r="G386" s="272"/>
      <c r="H386" s="272"/>
      <c r="I386" s="272"/>
      <c r="J386" s="272"/>
      <c r="K386" s="272"/>
      <c r="L386" s="272"/>
      <c r="M386" s="523"/>
      <c r="N386" s="272"/>
      <c r="O386" s="272"/>
      <c r="P386" s="272"/>
      <c r="Q386" s="272"/>
      <c r="R386" s="272"/>
      <c r="S386" s="272"/>
      <c r="T386" s="272"/>
      <c r="U386" s="272"/>
      <c r="V386" s="272"/>
      <c r="W386" s="272"/>
      <c r="X386" s="272"/>
      <c r="Y386" s="272"/>
      <c r="Z386" s="272"/>
      <c r="AA386" s="272"/>
      <c r="AB386" s="272"/>
      <c r="AC386" s="272"/>
      <c r="AD386" s="272"/>
      <c r="AE386" s="272"/>
      <c r="AF386" s="272"/>
    </row>
    <row r="387" spans="1:32" ht="122.4" customHeight="1" thickBot="1" x14ac:dyDescent="0.45">
      <c r="A387" s="272"/>
      <c r="B387" s="272"/>
      <c r="C387" s="272"/>
      <c r="D387" s="650"/>
      <c r="E387" s="272"/>
      <c r="F387" s="379"/>
      <c r="G387" s="272"/>
      <c r="H387" s="272"/>
      <c r="I387" s="272"/>
      <c r="J387" s="272"/>
      <c r="K387" s="272"/>
      <c r="L387" s="272"/>
      <c r="M387" s="523"/>
      <c r="N387" s="272"/>
      <c r="O387" s="272"/>
      <c r="P387" s="272"/>
      <c r="Q387" s="272"/>
      <c r="R387" s="272"/>
      <c r="S387" s="272"/>
      <c r="T387" s="272"/>
      <c r="U387" s="272"/>
      <c r="V387" s="272"/>
      <c r="W387" s="272"/>
      <c r="X387" s="272"/>
      <c r="Y387" s="272"/>
      <c r="Z387" s="272"/>
      <c r="AA387" s="272"/>
      <c r="AB387" s="272"/>
      <c r="AC387" s="272"/>
      <c r="AD387" s="272"/>
      <c r="AE387" s="272"/>
      <c r="AF387" s="272"/>
    </row>
    <row r="388" spans="1:32" ht="122.4" customHeight="1" thickBot="1" x14ac:dyDescent="0.45">
      <c r="A388" s="272"/>
      <c r="B388" s="272"/>
      <c r="C388" s="272"/>
      <c r="D388" s="650"/>
      <c r="E388" s="272"/>
      <c r="F388" s="379"/>
      <c r="G388" s="272"/>
      <c r="H388" s="272"/>
      <c r="I388" s="272"/>
      <c r="J388" s="272"/>
      <c r="K388" s="272"/>
      <c r="L388" s="272"/>
      <c r="M388" s="523"/>
      <c r="N388" s="272"/>
      <c r="O388" s="272"/>
      <c r="P388" s="272"/>
      <c r="Q388" s="272"/>
      <c r="R388" s="272"/>
      <c r="S388" s="272"/>
      <c r="T388" s="272"/>
      <c r="U388" s="272"/>
      <c r="V388" s="272"/>
      <c r="W388" s="272"/>
      <c r="X388" s="272"/>
      <c r="Y388" s="272"/>
      <c r="Z388" s="272"/>
      <c r="AA388" s="272"/>
      <c r="AB388" s="272"/>
      <c r="AC388" s="272"/>
      <c r="AD388" s="272"/>
      <c r="AE388" s="272"/>
      <c r="AF388" s="272"/>
    </row>
    <row r="389" spans="1:32" ht="122.4" customHeight="1" thickBot="1" x14ac:dyDescent="0.45">
      <c r="A389" s="272"/>
      <c r="B389" s="272"/>
      <c r="C389" s="272"/>
      <c r="D389" s="650"/>
      <c r="E389" s="272"/>
      <c r="F389" s="379"/>
      <c r="G389" s="272"/>
      <c r="H389" s="272"/>
      <c r="I389" s="272"/>
      <c r="J389" s="272"/>
      <c r="K389" s="272"/>
      <c r="L389" s="272"/>
      <c r="M389" s="523"/>
      <c r="N389" s="272"/>
      <c r="O389" s="272"/>
      <c r="P389" s="272"/>
      <c r="Q389" s="272"/>
      <c r="R389" s="272"/>
      <c r="S389" s="272"/>
      <c r="T389" s="272"/>
      <c r="U389" s="272"/>
      <c r="V389" s="272"/>
      <c r="W389" s="272"/>
      <c r="X389" s="272"/>
      <c r="Y389" s="272"/>
      <c r="Z389" s="272"/>
      <c r="AA389" s="272"/>
      <c r="AB389" s="272"/>
      <c r="AC389" s="272"/>
      <c r="AD389" s="272"/>
      <c r="AE389" s="272"/>
      <c r="AF389" s="272"/>
    </row>
    <row r="390" spans="1:32" ht="122.4" customHeight="1" thickBot="1" x14ac:dyDescent="0.45">
      <c r="A390" s="272"/>
      <c r="B390" s="272"/>
      <c r="C390" s="272"/>
      <c r="D390" s="650"/>
      <c r="E390" s="272"/>
      <c r="F390" s="379"/>
      <c r="G390" s="272"/>
      <c r="H390" s="272"/>
      <c r="I390" s="272"/>
      <c r="J390" s="272"/>
      <c r="K390" s="272"/>
      <c r="L390" s="272"/>
      <c r="M390" s="523"/>
      <c r="N390" s="272"/>
      <c r="O390" s="272"/>
      <c r="P390" s="272"/>
      <c r="Q390" s="272"/>
      <c r="R390" s="272"/>
      <c r="S390" s="272"/>
      <c r="T390" s="272"/>
      <c r="U390" s="272"/>
      <c r="V390" s="272"/>
      <c r="W390" s="272"/>
      <c r="X390" s="272"/>
      <c r="Y390" s="272"/>
      <c r="Z390" s="272"/>
      <c r="AA390" s="272"/>
      <c r="AB390" s="272"/>
      <c r="AC390" s="272"/>
      <c r="AD390" s="272"/>
      <c r="AE390" s="272"/>
      <c r="AF390" s="272"/>
    </row>
    <row r="391" spans="1:32" ht="122.4" customHeight="1" thickBot="1" x14ac:dyDescent="0.45">
      <c r="A391" s="272"/>
      <c r="B391" s="272"/>
      <c r="C391" s="272"/>
      <c r="D391" s="650"/>
      <c r="E391" s="272"/>
      <c r="F391" s="379"/>
      <c r="G391" s="272"/>
      <c r="H391" s="272"/>
      <c r="I391" s="272"/>
      <c r="J391" s="272"/>
      <c r="K391" s="272"/>
      <c r="L391" s="272"/>
      <c r="M391" s="523"/>
      <c r="N391" s="272"/>
      <c r="O391" s="272"/>
      <c r="P391" s="272"/>
      <c r="Q391" s="272"/>
      <c r="R391" s="272"/>
      <c r="S391" s="272"/>
      <c r="T391" s="272"/>
      <c r="U391" s="272"/>
      <c r="V391" s="272"/>
      <c r="W391" s="272"/>
      <c r="X391" s="272"/>
      <c r="Y391" s="272"/>
      <c r="Z391" s="272"/>
      <c r="AA391" s="272"/>
      <c r="AB391" s="272"/>
      <c r="AC391" s="272"/>
      <c r="AD391" s="272"/>
      <c r="AE391" s="272"/>
      <c r="AF391" s="272"/>
    </row>
    <row r="392" spans="1:32" ht="122.4" customHeight="1" thickBot="1" x14ac:dyDescent="0.45">
      <c r="A392" s="272"/>
      <c r="B392" s="272"/>
      <c r="C392" s="272"/>
      <c r="D392" s="650"/>
      <c r="E392" s="272"/>
      <c r="F392" s="379"/>
      <c r="G392" s="272"/>
      <c r="H392" s="272"/>
      <c r="I392" s="272"/>
      <c r="J392" s="272"/>
      <c r="K392" s="272"/>
      <c r="L392" s="272"/>
      <c r="M392" s="523"/>
      <c r="N392" s="272"/>
      <c r="O392" s="272"/>
      <c r="P392" s="272"/>
      <c r="Q392" s="272"/>
      <c r="R392" s="272"/>
      <c r="S392" s="272"/>
      <c r="T392" s="272"/>
      <c r="U392" s="272"/>
      <c r="V392" s="272"/>
      <c r="W392" s="272"/>
      <c r="X392" s="272"/>
      <c r="Y392" s="272"/>
      <c r="Z392" s="272"/>
      <c r="AA392" s="272"/>
      <c r="AB392" s="272"/>
      <c r="AC392" s="272"/>
      <c r="AD392" s="272"/>
      <c r="AE392" s="272"/>
      <c r="AF392" s="272"/>
    </row>
    <row r="393" spans="1:32" ht="122.4" customHeight="1" thickBot="1" x14ac:dyDescent="0.45">
      <c r="A393" s="272"/>
      <c r="B393" s="272"/>
      <c r="C393" s="272"/>
      <c r="D393" s="650"/>
      <c r="E393" s="272"/>
      <c r="F393" s="379"/>
      <c r="G393" s="272"/>
      <c r="H393" s="272"/>
      <c r="I393" s="272"/>
      <c r="J393" s="272"/>
      <c r="K393" s="272"/>
      <c r="L393" s="272"/>
      <c r="M393" s="523"/>
      <c r="N393" s="272"/>
      <c r="O393" s="272"/>
      <c r="P393" s="272"/>
      <c r="Q393" s="272"/>
      <c r="R393" s="272"/>
      <c r="S393" s="272"/>
      <c r="T393" s="272"/>
      <c r="U393" s="272"/>
      <c r="V393" s="272"/>
      <c r="W393" s="272"/>
      <c r="X393" s="272"/>
      <c r="Y393" s="272"/>
      <c r="Z393" s="272"/>
      <c r="AA393" s="272"/>
      <c r="AB393" s="272"/>
      <c r="AC393" s="272"/>
      <c r="AD393" s="272"/>
      <c r="AE393" s="272"/>
      <c r="AF393" s="272"/>
    </row>
    <row r="394" spans="1:32" ht="122.4" customHeight="1" thickBot="1" x14ac:dyDescent="0.45">
      <c r="A394" s="272"/>
      <c r="B394" s="272"/>
      <c r="C394" s="272"/>
      <c r="D394" s="650"/>
      <c r="E394" s="272"/>
      <c r="F394" s="379"/>
      <c r="G394" s="272"/>
      <c r="H394" s="272"/>
      <c r="I394" s="272"/>
      <c r="J394" s="272"/>
      <c r="K394" s="272"/>
      <c r="L394" s="272"/>
      <c r="M394" s="523"/>
      <c r="N394" s="272"/>
      <c r="O394" s="272"/>
      <c r="P394" s="272"/>
      <c r="Q394" s="272"/>
      <c r="R394" s="272"/>
      <c r="S394" s="272"/>
      <c r="T394" s="272"/>
      <c r="U394" s="272"/>
      <c r="V394" s="272"/>
      <c r="W394" s="272"/>
      <c r="X394" s="272"/>
      <c r="Y394" s="272"/>
      <c r="Z394" s="272"/>
      <c r="AA394" s="272"/>
      <c r="AB394" s="272"/>
      <c r="AC394" s="272"/>
      <c r="AD394" s="272"/>
      <c r="AE394" s="272"/>
      <c r="AF394" s="272"/>
    </row>
    <row r="395" spans="1:32" ht="122.4" customHeight="1" thickBot="1" x14ac:dyDescent="0.45">
      <c r="A395" s="272"/>
      <c r="B395" s="272"/>
      <c r="C395" s="272"/>
      <c r="D395" s="650"/>
      <c r="E395" s="272"/>
      <c r="F395" s="379"/>
      <c r="G395" s="272"/>
      <c r="H395" s="272"/>
      <c r="I395" s="272"/>
      <c r="J395" s="272"/>
      <c r="K395" s="272"/>
      <c r="L395" s="272"/>
      <c r="M395" s="523"/>
      <c r="N395" s="272"/>
      <c r="O395" s="272"/>
      <c r="P395" s="272"/>
      <c r="Q395" s="272"/>
      <c r="R395" s="272"/>
      <c r="S395" s="272"/>
      <c r="T395" s="272"/>
      <c r="U395" s="272"/>
      <c r="V395" s="272"/>
      <c r="W395" s="272"/>
      <c r="X395" s="272"/>
      <c r="Y395" s="272"/>
      <c r="Z395" s="272"/>
      <c r="AA395" s="272"/>
      <c r="AB395" s="272"/>
      <c r="AC395" s="272"/>
      <c r="AD395" s="272"/>
      <c r="AE395" s="272"/>
      <c r="AF395" s="272"/>
    </row>
    <row r="396" spans="1:32" ht="122.4" customHeight="1" thickBot="1" x14ac:dyDescent="0.45">
      <c r="A396" s="272"/>
      <c r="B396" s="272"/>
      <c r="C396" s="272"/>
      <c r="D396" s="650"/>
      <c r="E396" s="272"/>
      <c r="F396" s="379"/>
      <c r="G396" s="272"/>
      <c r="H396" s="272"/>
      <c r="I396" s="272"/>
      <c r="J396" s="272"/>
      <c r="K396" s="272"/>
      <c r="L396" s="272"/>
      <c r="M396" s="523"/>
      <c r="N396" s="272"/>
      <c r="O396" s="272"/>
      <c r="P396" s="272"/>
      <c r="Q396" s="272"/>
      <c r="R396" s="272"/>
      <c r="S396" s="272"/>
      <c r="T396" s="272"/>
      <c r="U396" s="272"/>
      <c r="V396" s="272"/>
      <c r="W396" s="272"/>
      <c r="X396" s="272"/>
      <c r="Y396" s="272"/>
      <c r="Z396" s="272"/>
      <c r="AA396" s="272"/>
      <c r="AB396" s="272"/>
      <c r="AC396" s="272"/>
      <c r="AD396" s="272"/>
      <c r="AE396" s="272"/>
      <c r="AF396" s="272"/>
    </row>
    <row r="397" spans="1:32" ht="122.4" customHeight="1" thickBot="1" x14ac:dyDescent="0.45">
      <c r="A397" s="272"/>
      <c r="B397" s="272"/>
      <c r="C397" s="272"/>
      <c r="D397" s="650"/>
      <c r="E397" s="272"/>
      <c r="F397" s="379"/>
      <c r="G397" s="272"/>
      <c r="H397" s="272"/>
      <c r="I397" s="272"/>
      <c r="J397" s="272"/>
      <c r="K397" s="272"/>
      <c r="L397" s="272"/>
      <c r="M397" s="523"/>
      <c r="N397" s="272"/>
      <c r="O397" s="272"/>
      <c r="P397" s="272"/>
      <c r="Q397" s="272"/>
      <c r="R397" s="272"/>
      <c r="S397" s="272"/>
      <c r="T397" s="272"/>
      <c r="U397" s="272"/>
      <c r="V397" s="272"/>
      <c r="W397" s="272"/>
      <c r="X397" s="272"/>
      <c r="Y397" s="272"/>
      <c r="Z397" s="272"/>
      <c r="AA397" s="272"/>
      <c r="AB397" s="272"/>
      <c r="AC397" s="272"/>
      <c r="AD397" s="272"/>
      <c r="AE397" s="272"/>
      <c r="AF397" s="272"/>
    </row>
    <row r="398" spans="1:32" ht="122.4" customHeight="1" thickBot="1" x14ac:dyDescent="0.45">
      <c r="A398" s="272"/>
      <c r="B398" s="272"/>
      <c r="C398" s="272"/>
      <c r="D398" s="650"/>
      <c r="E398" s="272"/>
      <c r="F398" s="379"/>
      <c r="G398" s="272"/>
      <c r="H398" s="272"/>
      <c r="I398" s="272"/>
      <c r="J398" s="272"/>
      <c r="K398" s="272"/>
      <c r="L398" s="272"/>
      <c r="M398" s="523"/>
      <c r="N398" s="272"/>
      <c r="O398" s="272"/>
      <c r="P398" s="272"/>
      <c r="Q398" s="272"/>
      <c r="R398" s="272"/>
      <c r="S398" s="272"/>
      <c r="T398" s="272"/>
      <c r="U398" s="272"/>
      <c r="V398" s="272"/>
      <c r="W398" s="272"/>
      <c r="X398" s="272"/>
      <c r="Y398" s="272"/>
      <c r="Z398" s="272"/>
      <c r="AA398" s="272"/>
      <c r="AB398" s="272"/>
      <c r="AC398" s="272"/>
      <c r="AD398" s="272"/>
      <c r="AE398" s="272"/>
      <c r="AF398" s="272"/>
    </row>
    <row r="399" spans="1:32" ht="122.4" customHeight="1" thickBot="1" x14ac:dyDescent="0.45">
      <c r="A399" s="272"/>
      <c r="B399" s="272"/>
      <c r="C399" s="272"/>
      <c r="D399" s="650"/>
      <c r="E399" s="272"/>
      <c r="F399" s="379"/>
      <c r="G399" s="272"/>
      <c r="H399" s="272"/>
      <c r="I399" s="272"/>
      <c r="J399" s="272"/>
      <c r="K399" s="272"/>
      <c r="L399" s="272"/>
      <c r="M399" s="523"/>
      <c r="N399" s="272"/>
      <c r="O399" s="272"/>
      <c r="P399" s="272"/>
      <c r="Q399" s="272"/>
      <c r="R399" s="272"/>
      <c r="S399" s="272"/>
      <c r="T399" s="272"/>
      <c r="U399" s="272"/>
      <c r="V399" s="272"/>
      <c r="W399" s="272"/>
      <c r="X399" s="272"/>
      <c r="Y399" s="272"/>
      <c r="Z399" s="272"/>
      <c r="AA399" s="272"/>
      <c r="AB399" s="272"/>
      <c r="AC399" s="272"/>
      <c r="AD399" s="272"/>
      <c r="AE399" s="272"/>
      <c r="AF399" s="272"/>
    </row>
    <row r="400" spans="1:32" ht="122.4" customHeight="1" thickBot="1" x14ac:dyDescent="0.45">
      <c r="A400" s="272"/>
      <c r="B400" s="272"/>
      <c r="C400" s="272"/>
      <c r="D400" s="650"/>
      <c r="E400" s="272"/>
      <c r="F400" s="379"/>
      <c r="G400" s="272"/>
      <c r="H400" s="272"/>
      <c r="I400" s="272"/>
      <c r="J400" s="272"/>
      <c r="K400" s="272"/>
      <c r="L400" s="272"/>
      <c r="M400" s="523"/>
      <c r="N400" s="272"/>
      <c r="O400" s="272"/>
      <c r="P400" s="272"/>
      <c r="Q400" s="272"/>
      <c r="R400" s="272"/>
      <c r="S400" s="272"/>
      <c r="T400" s="272"/>
      <c r="U400" s="272"/>
      <c r="V400" s="272"/>
      <c r="W400" s="272"/>
      <c r="X400" s="272"/>
      <c r="Y400" s="272"/>
      <c r="Z400" s="272"/>
      <c r="AA400" s="272"/>
      <c r="AB400" s="272"/>
      <c r="AC400" s="272"/>
      <c r="AD400" s="272"/>
      <c r="AE400" s="272"/>
      <c r="AF400" s="272"/>
    </row>
    <row r="401" spans="1:32" ht="122.4" customHeight="1" thickBot="1" x14ac:dyDescent="0.45">
      <c r="A401" s="272"/>
      <c r="B401" s="272"/>
      <c r="C401" s="272"/>
      <c r="D401" s="650"/>
      <c r="E401" s="272"/>
      <c r="F401" s="379"/>
      <c r="G401" s="272"/>
      <c r="H401" s="272"/>
      <c r="I401" s="272"/>
      <c r="J401" s="272"/>
      <c r="K401" s="272"/>
      <c r="L401" s="272"/>
      <c r="M401" s="523"/>
      <c r="N401" s="272"/>
      <c r="O401" s="272"/>
      <c r="P401" s="272"/>
      <c r="Q401" s="272"/>
      <c r="R401" s="272"/>
      <c r="S401" s="272"/>
      <c r="T401" s="272"/>
      <c r="U401" s="272"/>
      <c r="V401" s="272"/>
      <c r="W401" s="272"/>
      <c r="X401" s="272"/>
      <c r="Y401" s="272"/>
      <c r="Z401" s="272"/>
      <c r="AA401" s="272"/>
      <c r="AB401" s="272"/>
      <c r="AC401" s="272"/>
      <c r="AD401" s="272"/>
      <c r="AE401" s="272"/>
      <c r="AF401" s="272"/>
    </row>
    <row r="402" spans="1:32" ht="122.4" customHeight="1" thickBot="1" x14ac:dyDescent="0.45">
      <c r="A402" s="272"/>
      <c r="B402" s="272"/>
      <c r="C402" s="272"/>
      <c r="D402" s="650"/>
      <c r="E402" s="272"/>
      <c r="F402" s="379"/>
      <c r="G402" s="272"/>
      <c r="H402" s="272"/>
      <c r="I402" s="272"/>
      <c r="J402" s="272"/>
      <c r="K402" s="272"/>
      <c r="L402" s="272"/>
      <c r="M402" s="523"/>
      <c r="N402" s="272"/>
      <c r="O402" s="272"/>
      <c r="P402" s="272"/>
      <c r="Q402" s="272"/>
      <c r="R402" s="272"/>
      <c r="S402" s="272"/>
      <c r="T402" s="272"/>
      <c r="U402" s="272"/>
      <c r="V402" s="272"/>
      <c r="W402" s="272"/>
      <c r="X402" s="272"/>
      <c r="Y402" s="272"/>
      <c r="Z402" s="272"/>
      <c r="AA402" s="272"/>
      <c r="AB402" s="272"/>
      <c r="AC402" s="272"/>
      <c r="AD402" s="272"/>
      <c r="AE402" s="272"/>
      <c r="AF402" s="272"/>
    </row>
    <row r="403" spans="1:32" ht="122.4" customHeight="1" thickBot="1" x14ac:dyDescent="0.45">
      <c r="A403" s="272"/>
      <c r="B403" s="272"/>
      <c r="C403" s="272"/>
      <c r="D403" s="650"/>
      <c r="E403" s="272"/>
      <c r="F403" s="379"/>
      <c r="G403" s="272"/>
      <c r="H403" s="272"/>
      <c r="I403" s="272"/>
      <c r="J403" s="272"/>
      <c r="K403" s="272"/>
      <c r="L403" s="272"/>
      <c r="M403" s="523"/>
      <c r="N403" s="272"/>
      <c r="O403" s="272"/>
      <c r="P403" s="272"/>
      <c r="Q403" s="272"/>
      <c r="R403" s="272"/>
      <c r="S403" s="272"/>
      <c r="T403" s="272"/>
      <c r="U403" s="272"/>
      <c r="V403" s="272"/>
      <c r="W403" s="272"/>
      <c r="X403" s="272"/>
      <c r="Y403" s="272"/>
      <c r="Z403" s="272"/>
      <c r="AA403" s="272"/>
      <c r="AB403" s="272"/>
      <c r="AC403" s="272"/>
      <c r="AD403" s="272"/>
      <c r="AE403" s="272"/>
      <c r="AF403" s="272"/>
    </row>
    <row r="404" spans="1:32" ht="122.4" customHeight="1" thickBot="1" x14ac:dyDescent="0.45">
      <c r="A404" s="272"/>
      <c r="B404" s="272"/>
      <c r="C404" s="272"/>
      <c r="D404" s="650"/>
      <c r="E404" s="272"/>
      <c r="F404" s="379"/>
      <c r="G404" s="272"/>
      <c r="H404" s="272"/>
      <c r="I404" s="272"/>
      <c r="J404" s="272"/>
      <c r="K404" s="272"/>
      <c r="L404" s="272"/>
      <c r="M404" s="523"/>
      <c r="N404" s="272"/>
      <c r="O404" s="272"/>
      <c r="P404" s="272"/>
      <c r="Q404" s="272"/>
      <c r="R404" s="272"/>
      <c r="S404" s="272"/>
      <c r="T404" s="272"/>
      <c r="U404" s="272"/>
      <c r="V404" s="272"/>
      <c r="W404" s="272"/>
      <c r="X404" s="272"/>
      <c r="Y404" s="272"/>
      <c r="Z404" s="272"/>
      <c r="AA404" s="272"/>
      <c r="AB404" s="272"/>
      <c r="AC404" s="272"/>
      <c r="AD404" s="272"/>
      <c r="AE404" s="272"/>
      <c r="AF404" s="272"/>
    </row>
    <row r="405" spans="1:32" ht="122.4" customHeight="1" thickBot="1" x14ac:dyDescent="0.45">
      <c r="A405" s="272"/>
      <c r="B405" s="272"/>
      <c r="C405" s="272"/>
      <c r="D405" s="650"/>
      <c r="E405" s="272"/>
      <c r="F405" s="379"/>
      <c r="G405" s="272"/>
      <c r="H405" s="272"/>
      <c r="I405" s="272"/>
      <c r="J405" s="272"/>
      <c r="K405" s="272"/>
      <c r="L405" s="272"/>
      <c r="M405" s="523"/>
      <c r="N405" s="272"/>
      <c r="O405" s="272"/>
      <c r="P405" s="272"/>
      <c r="Q405" s="272"/>
      <c r="R405" s="272"/>
      <c r="S405" s="272"/>
      <c r="T405" s="272"/>
      <c r="U405" s="272"/>
      <c r="V405" s="272"/>
      <c r="W405" s="272"/>
      <c r="X405" s="272"/>
      <c r="Y405" s="272"/>
      <c r="Z405" s="272"/>
      <c r="AA405" s="272"/>
      <c r="AB405" s="272"/>
      <c r="AC405" s="272"/>
      <c r="AD405" s="272"/>
      <c r="AE405" s="272"/>
      <c r="AF405" s="272"/>
    </row>
  </sheetData>
  <sheetProtection password="DEFC" sheet="1" objects="1" scenarios="1"/>
  <autoFilter ref="A2:AM205"/>
  <mergeCells count="47">
    <mergeCell ref="B182:C182"/>
    <mergeCell ref="B184:C184"/>
    <mergeCell ref="B164:C164"/>
    <mergeCell ref="B165:C165"/>
    <mergeCell ref="B170:C170"/>
    <mergeCell ref="B173:C173"/>
    <mergeCell ref="B176:C176"/>
    <mergeCell ref="B187:C187"/>
    <mergeCell ref="B192:C192"/>
    <mergeCell ref="B193:C193"/>
    <mergeCell ref="B198:C198"/>
    <mergeCell ref="B203:C203"/>
    <mergeCell ref="B140:C140"/>
    <mergeCell ref="B145:C145"/>
    <mergeCell ref="B148:C148"/>
    <mergeCell ref="B154:C154"/>
    <mergeCell ref="B160:C160"/>
    <mergeCell ref="B122:C122"/>
    <mergeCell ref="B124:C124"/>
    <mergeCell ref="B126:C126"/>
    <mergeCell ref="B130:C130"/>
    <mergeCell ref="B131:C131"/>
    <mergeCell ref="B92:C92"/>
    <mergeCell ref="B101:C101"/>
    <mergeCell ref="B106:C106"/>
    <mergeCell ref="B119:C119"/>
    <mergeCell ref="B120:C120"/>
    <mergeCell ref="B68:C68"/>
    <mergeCell ref="B73:C73"/>
    <mergeCell ref="B77:C77"/>
    <mergeCell ref="B85:C85"/>
    <mergeCell ref="B91:C91"/>
    <mergeCell ref="B43:C43"/>
    <mergeCell ref="B49:C49"/>
    <mergeCell ref="B52:C52"/>
    <mergeCell ref="B56:C56"/>
    <mergeCell ref="B60:C60"/>
    <mergeCell ref="B15:C15"/>
    <mergeCell ref="B21:C21"/>
    <mergeCell ref="B29:C29"/>
    <mergeCell ref="B34:C34"/>
    <mergeCell ref="B39:C39"/>
    <mergeCell ref="B2:C2"/>
    <mergeCell ref="B3:C3"/>
    <mergeCell ref="B4:C4"/>
    <mergeCell ref="B5:C5"/>
    <mergeCell ref="B12:C12"/>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00"/>
  <sheetViews>
    <sheetView topLeftCell="B1" zoomScale="33" zoomScaleNormal="33" workbookViewId="0">
      <pane xSplit="2" ySplit="5" topLeftCell="D6" activePane="bottomRight" state="frozen"/>
      <selection activeCell="B1" sqref="B1"/>
      <selection pane="topRight" activeCell="D1" sqref="D1"/>
      <selection pane="bottomLeft" activeCell="B6" sqref="B6"/>
      <selection pane="bottomRight" activeCell="T29" sqref="T29"/>
    </sheetView>
  </sheetViews>
  <sheetFormatPr baseColWidth="10" defaultColWidth="14.44140625" defaultRowHeight="15" customHeight="1" x14ac:dyDescent="0.35"/>
  <cols>
    <col min="1" max="1" width="10.6640625" style="109" hidden="1" customWidth="1"/>
    <col min="2" max="2" width="60.44140625" style="109" customWidth="1"/>
    <col min="3" max="3" width="88.77734375" style="109" customWidth="1"/>
    <col min="4" max="4" width="49.6640625" style="109" customWidth="1"/>
    <col min="5" max="5" width="28" style="171" hidden="1" customWidth="1"/>
    <col min="6" max="6" width="32.6640625" style="109" customWidth="1"/>
    <col min="7" max="7" width="33.33203125" style="109" customWidth="1"/>
    <col min="8" max="8" width="31.33203125" style="109" customWidth="1"/>
    <col min="9" max="9" width="33.33203125" style="109" customWidth="1"/>
    <col min="10" max="10" width="34.6640625" style="109" customWidth="1"/>
    <col min="11" max="11" width="38.6640625" style="109" hidden="1" customWidth="1"/>
    <col min="12" max="12" width="34.44140625" style="109" hidden="1" customWidth="1"/>
    <col min="13" max="13" width="32.88671875" style="109" customWidth="1"/>
    <col min="14" max="14" width="36.5546875" style="109" customWidth="1"/>
    <col min="15" max="15" width="33.21875" style="109" customWidth="1"/>
    <col min="16" max="16" width="35.77734375" style="109" customWidth="1"/>
    <col min="17" max="17" width="31.33203125" style="109" customWidth="1"/>
    <col min="18" max="18" width="25.77734375" style="109" customWidth="1"/>
    <col min="19" max="19" width="31.33203125" style="109" customWidth="1"/>
    <col min="20" max="21" width="36.5546875" style="109" customWidth="1"/>
    <col min="22" max="22" width="35.21875" style="109" customWidth="1"/>
    <col min="23" max="23" width="35.44140625" style="109" customWidth="1"/>
    <col min="24" max="24" width="33.21875" style="109" customWidth="1"/>
    <col min="25" max="25" width="35.88671875" style="109" customWidth="1"/>
    <col min="26" max="26" width="34.77734375" style="109" customWidth="1"/>
    <col min="27" max="27" width="36.5546875" style="109" customWidth="1"/>
    <col min="28" max="28" width="24.6640625" style="109" customWidth="1"/>
    <col min="29" max="29" width="10.6640625" style="109" customWidth="1"/>
    <col min="30" max="30" width="38.5546875" style="109" customWidth="1"/>
    <col min="31" max="35" width="10.6640625" style="109" customWidth="1"/>
    <col min="36" max="16384" width="14.44140625" style="109"/>
  </cols>
  <sheetData>
    <row r="1" spans="1:49" ht="18.600000000000001" thickBot="1" x14ac:dyDescent="0.4">
      <c r="A1" s="106"/>
      <c r="B1" s="107"/>
      <c r="C1" s="107"/>
      <c r="D1" s="107"/>
      <c r="E1" s="108"/>
      <c r="F1" s="107"/>
      <c r="G1" s="107"/>
      <c r="H1" s="107"/>
      <c r="I1" s="107"/>
      <c r="J1" s="107"/>
      <c r="K1" s="107"/>
      <c r="L1" s="107"/>
      <c r="M1" s="107"/>
      <c r="N1" s="107"/>
      <c r="O1" s="107"/>
      <c r="P1" s="107"/>
      <c r="Q1" s="107"/>
      <c r="R1" s="107"/>
      <c r="S1" s="107"/>
      <c r="T1" s="107"/>
      <c r="U1" s="107"/>
      <c r="V1" s="107"/>
      <c r="W1" s="107"/>
      <c r="X1" s="107"/>
      <c r="Y1" s="107"/>
      <c r="Z1" s="107"/>
      <c r="AA1" s="107"/>
      <c r="AB1" s="106"/>
      <c r="AC1" s="106"/>
      <c r="AD1" s="106"/>
      <c r="AE1" s="106"/>
      <c r="AF1" s="106"/>
      <c r="AG1" s="106"/>
      <c r="AH1" s="106"/>
      <c r="AI1" s="106"/>
      <c r="AJ1" s="106"/>
      <c r="AK1" s="106"/>
      <c r="AL1" s="106"/>
      <c r="AM1" s="106"/>
      <c r="AN1" s="106"/>
      <c r="AO1" s="106"/>
      <c r="AP1" s="106"/>
      <c r="AQ1" s="106"/>
      <c r="AR1" s="106"/>
      <c r="AS1" s="106"/>
      <c r="AT1" s="106"/>
      <c r="AU1" s="106"/>
      <c r="AV1" s="106"/>
      <c r="AW1" s="106"/>
    </row>
    <row r="2" spans="1:49" ht="180" customHeight="1" thickBot="1" x14ac:dyDescent="0.4">
      <c r="A2" s="110"/>
      <c r="B2" s="972" t="s">
        <v>0</v>
      </c>
      <c r="C2" s="973"/>
      <c r="D2" s="111" t="s">
        <v>1</v>
      </c>
      <c r="E2" s="112" t="s">
        <v>2</v>
      </c>
      <c r="F2" s="113" t="s">
        <v>3</v>
      </c>
      <c r="G2" s="113" t="s">
        <v>4</v>
      </c>
      <c r="H2" s="113" t="s">
        <v>1783</v>
      </c>
      <c r="I2" s="114" t="s">
        <v>5</v>
      </c>
      <c r="J2" s="114" t="s">
        <v>1784</v>
      </c>
      <c r="K2" s="537" t="s">
        <v>6</v>
      </c>
      <c r="L2" s="537" t="s">
        <v>1785</v>
      </c>
      <c r="M2" s="115" t="s">
        <v>1772</v>
      </c>
      <c r="N2" s="403" t="s">
        <v>1786</v>
      </c>
      <c r="O2" s="403" t="s">
        <v>1789</v>
      </c>
      <c r="P2" s="403" t="s">
        <v>1788</v>
      </c>
      <c r="Q2" s="403" t="s">
        <v>1787</v>
      </c>
      <c r="R2" s="403" t="s">
        <v>1790</v>
      </c>
      <c r="S2" s="403" t="s">
        <v>1791</v>
      </c>
      <c r="T2" s="478" t="s">
        <v>7</v>
      </c>
      <c r="U2" s="890" t="s">
        <v>1879</v>
      </c>
      <c r="V2" s="402" t="s">
        <v>8</v>
      </c>
      <c r="W2" s="402" t="s">
        <v>1880</v>
      </c>
      <c r="X2" s="401" t="s">
        <v>1793</v>
      </c>
      <c r="Y2" s="401" t="s">
        <v>1881</v>
      </c>
      <c r="Z2" s="607" t="s">
        <v>1774</v>
      </c>
      <c r="AA2" s="891" t="s">
        <v>1882</v>
      </c>
      <c r="AB2" s="106"/>
      <c r="AC2" s="106"/>
      <c r="AD2" s="106"/>
      <c r="AE2" s="106"/>
      <c r="AF2" s="106"/>
      <c r="AG2" s="106"/>
      <c r="AH2" s="106"/>
      <c r="AI2" s="106"/>
      <c r="AJ2" s="106"/>
      <c r="AK2" s="106"/>
      <c r="AL2" s="106"/>
      <c r="AM2" s="106"/>
      <c r="AN2" s="106"/>
      <c r="AO2" s="106"/>
      <c r="AP2" s="106"/>
      <c r="AQ2" s="106"/>
      <c r="AR2" s="106"/>
      <c r="AS2" s="106"/>
      <c r="AT2" s="106"/>
      <c r="AU2" s="106"/>
      <c r="AV2" s="106"/>
      <c r="AW2" s="106"/>
    </row>
    <row r="3" spans="1:49" s="179" customFormat="1" ht="93" customHeight="1" thickBot="1" x14ac:dyDescent="0.75">
      <c r="A3" s="172"/>
      <c r="B3" s="974" t="s">
        <v>1718</v>
      </c>
      <c r="C3" s="975"/>
      <c r="D3" s="173"/>
      <c r="E3" s="174">
        <v>0.15</v>
      </c>
      <c r="F3" s="175"/>
      <c r="G3" s="176"/>
      <c r="H3" s="176"/>
      <c r="I3" s="538">
        <f>+(I4+I15+I33+I45+I67+I100+I124)/7</f>
        <v>0.25743535350812591</v>
      </c>
      <c r="J3" s="538">
        <f>+(J4+J15+J33+J45+J67+J100+J124)/7</f>
        <v>0.30996708312904808</v>
      </c>
      <c r="K3" s="539">
        <f>+(K4+K15+K33+K45+K67+K100+K124)/7</f>
        <v>0.19244539710966052</v>
      </c>
      <c r="L3" s="539">
        <f>+(L4+L15+L33+L45+L67+L100+L124)/7</f>
        <v>0.29997897073411611</v>
      </c>
      <c r="M3" s="177"/>
      <c r="N3" s="177"/>
      <c r="O3" s="177"/>
      <c r="P3" s="177"/>
      <c r="Q3" s="177"/>
      <c r="R3" s="177"/>
      <c r="S3" s="177"/>
      <c r="T3" s="540">
        <f>+(T4+T15+T33+T45+T67+T100+T124)/7</f>
        <v>0.97179365079365077</v>
      </c>
      <c r="U3" s="540">
        <f>+(U4+U15+U33+U45+U67+U100+U124)/7</f>
        <v>0.55594684768286784</v>
      </c>
      <c r="V3" s="541">
        <f>F4+F15+F33+F45+F67+F100+F124</f>
        <v>0.557975</v>
      </c>
      <c r="W3" s="541">
        <f>H4+H15+H33+H45+H67+H100+H124</f>
        <v>0.39253359912385977</v>
      </c>
      <c r="X3" s="540">
        <f>+(X4+X15+X33+X45+X67+X100+X124)/7</f>
        <v>0.23822719251375898</v>
      </c>
      <c r="Y3" s="830">
        <f>+(Y4+Y15+Y33+Y45+Y67+Y100+Y124)/7</f>
        <v>0.39109264677080313</v>
      </c>
      <c r="Z3" s="541">
        <f>+(Z4+Z15+Z33+Z45+Z67+Z100+Z124)/7</f>
        <v>0.20423570426118634</v>
      </c>
      <c r="AA3" s="763">
        <f>+(AA4*E4)+(AA15*E15)+(AA33*E33)+(AA45*E45)+(AA67*E67)+(AA100*E100)+(AA124*E124)</f>
        <v>0.3787544841412066</v>
      </c>
      <c r="AB3" s="178"/>
      <c r="AC3" s="106"/>
      <c r="AD3" s="106"/>
      <c r="AE3" s="106"/>
      <c r="AF3" s="106"/>
      <c r="AG3" s="106"/>
      <c r="AH3" s="106"/>
      <c r="AI3" s="106"/>
      <c r="AJ3" s="106"/>
      <c r="AK3" s="106"/>
      <c r="AL3" s="106"/>
      <c r="AM3" s="106"/>
      <c r="AN3" s="106"/>
      <c r="AO3" s="106"/>
      <c r="AP3" s="106"/>
      <c r="AQ3" s="106"/>
      <c r="AR3" s="106"/>
      <c r="AS3" s="106"/>
      <c r="AT3" s="106"/>
      <c r="AU3" s="106"/>
      <c r="AV3" s="106"/>
      <c r="AW3" s="106"/>
    </row>
    <row r="4" spans="1:49" ht="78" customHeight="1" thickBot="1" x14ac:dyDescent="0.4">
      <c r="A4" s="110"/>
      <c r="B4" s="976" t="s">
        <v>1717</v>
      </c>
      <c r="C4" s="977"/>
      <c r="D4" s="116"/>
      <c r="E4" s="118">
        <v>0.1</v>
      </c>
      <c r="F4" s="119">
        <f>+E4*V4</f>
        <v>9.64E-2</v>
      </c>
      <c r="G4" s="120"/>
      <c r="H4" s="119">
        <f>+E4*W4</f>
        <v>4.3500000000000004E-2</v>
      </c>
      <c r="I4" s="121">
        <f>+(I5+I11)/2</f>
        <v>0.32500000000000001</v>
      </c>
      <c r="J4" s="121">
        <f>+(J5+J11)/2</f>
        <v>0.28333333333333333</v>
      </c>
      <c r="K4" s="122">
        <f>+(K5+K11)/2</f>
        <v>0.33750000000000002</v>
      </c>
      <c r="L4" s="122">
        <f>+(L5+L11)/2</f>
        <v>0.31874999999999998</v>
      </c>
      <c r="M4" s="123"/>
      <c r="N4" s="123"/>
      <c r="O4" s="123"/>
      <c r="P4" s="123"/>
      <c r="Q4" s="123"/>
      <c r="R4" s="123"/>
      <c r="S4" s="123"/>
      <c r="T4" s="121">
        <f>+(T5+T11)/2</f>
        <v>0.98</v>
      </c>
      <c r="U4" s="121">
        <f>+(U5+U11)/2</f>
        <v>0.42500000000000004</v>
      </c>
      <c r="V4" s="122">
        <f>+V5+V11</f>
        <v>0.96399999999999997</v>
      </c>
      <c r="W4" s="122">
        <f>+W5+W11</f>
        <v>0.435</v>
      </c>
      <c r="X4" s="121">
        <f>(X5+X11)/2</f>
        <v>0.37</v>
      </c>
      <c r="Y4" s="121">
        <f>(Y5+Y11)/2</f>
        <v>0.48416666666666669</v>
      </c>
      <c r="Z4" s="122">
        <f>+Z5+Z11</f>
        <v>0.32100000000000001</v>
      </c>
      <c r="AA4" s="122">
        <f>+(AA5*E5)+(AA11*E11)</f>
        <v>0.44850000000000001</v>
      </c>
      <c r="AB4" s="106"/>
      <c r="AC4" s="106"/>
      <c r="AD4" s="106"/>
      <c r="AE4" s="106"/>
      <c r="AF4" s="106"/>
      <c r="AG4" s="106"/>
      <c r="AH4" s="106"/>
      <c r="AI4" s="106"/>
      <c r="AJ4" s="106"/>
      <c r="AK4" s="106"/>
      <c r="AL4" s="106"/>
      <c r="AM4" s="106"/>
      <c r="AN4" s="106"/>
      <c r="AO4" s="106"/>
      <c r="AP4" s="106"/>
      <c r="AQ4" s="106"/>
      <c r="AR4" s="106"/>
      <c r="AS4" s="106"/>
      <c r="AT4" s="106"/>
      <c r="AU4" s="106"/>
      <c r="AV4" s="106"/>
      <c r="AW4" s="106"/>
    </row>
    <row r="5" spans="1:49" ht="39" customHeight="1" thickBot="1" x14ac:dyDescent="0.4">
      <c r="A5" s="110"/>
      <c r="B5" s="970" t="s">
        <v>1629</v>
      </c>
      <c r="C5" s="977"/>
      <c r="D5" s="125"/>
      <c r="E5" s="126">
        <v>0.4</v>
      </c>
      <c r="F5" s="127"/>
      <c r="G5" s="128"/>
      <c r="H5" s="128"/>
      <c r="I5" s="129">
        <f>+AVERAGE(I6:I10)</f>
        <v>0.4</v>
      </c>
      <c r="J5" s="129">
        <f>+AVERAGE(J6:J10)</f>
        <v>0.3</v>
      </c>
      <c r="K5" s="129">
        <f>+K6+K7+K8+K9+K10</f>
        <v>0.42499999999999999</v>
      </c>
      <c r="L5" s="129">
        <f>+L6+L7+L8+L9+L10</f>
        <v>0.36249999999999999</v>
      </c>
      <c r="M5" s="130"/>
      <c r="N5" s="130"/>
      <c r="O5" s="130"/>
      <c r="P5" s="130"/>
      <c r="Q5" s="130"/>
      <c r="R5" s="130"/>
      <c r="S5" s="130"/>
      <c r="T5" s="150">
        <f>+AVERAGE(T6:T10)</f>
        <v>1</v>
      </c>
      <c r="U5" s="150">
        <f>+AVERAGE(U6:U10)</f>
        <v>0.15</v>
      </c>
      <c r="V5" s="150">
        <f>+(V6+V7+V8+V9+V10)*E5</f>
        <v>0.4</v>
      </c>
      <c r="W5" s="150">
        <f>+(W6+W7+W8+W9+W10)*E5</f>
        <v>4.5000000000000005E-2</v>
      </c>
      <c r="X5" s="129">
        <f>+AVERAGE(X6:X10)</f>
        <v>0.5</v>
      </c>
      <c r="Y5" s="129">
        <f>+AVERAGE(Y6:Y10)</f>
        <v>0.54500000000000004</v>
      </c>
      <c r="Z5" s="129">
        <f>+(Z6+Z7+Z8+Z9+Z10)*E5</f>
        <v>0.18000000000000002</v>
      </c>
      <c r="AA5" s="129">
        <f>+(AA6+AA7+AA8+AA9+AA10)</f>
        <v>0.50624999999999998</v>
      </c>
      <c r="AB5" s="106"/>
      <c r="AC5" s="106"/>
      <c r="AD5" s="106"/>
      <c r="AE5" s="106"/>
      <c r="AF5" s="106"/>
      <c r="AG5" s="106"/>
      <c r="AH5" s="106"/>
      <c r="AI5" s="106"/>
      <c r="AJ5" s="106"/>
      <c r="AK5" s="106"/>
      <c r="AL5" s="106"/>
      <c r="AM5" s="106"/>
      <c r="AN5" s="106"/>
      <c r="AO5" s="106"/>
      <c r="AP5" s="106"/>
      <c r="AQ5" s="106"/>
      <c r="AR5" s="106"/>
      <c r="AS5" s="106"/>
      <c r="AT5" s="106"/>
      <c r="AU5" s="106"/>
      <c r="AV5" s="106"/>
      <c r="AW5" s="106"/>
    </row>
    <row r="6" spans="1:49" ht="76.95" customHeight="1" thickBot="1" x14ac:dyDescent="0.4">
      <c r="A6" s="110"/>
      <c r="B6" s="140" t="s">
        <v>681</v>
      </c>
      <c r="C6" s="791" t="s">
        <v>1391</v>
      </c>
      <c r="D6" s="125" t="s">
        <v>683</v>
      </c>
      <c r="E6" s="134">
        <v>0.05</v>
      </c>
      <c r="F6" s="135">
        <v>1</v>
      </c>
      <c r="G6" s="130">
        <v>0.5</v>
      </c>
      <c r="H6" s="203"/>
      <c r="I6" s="136">
        <f>+G6/F6</f>
        <v>0.5</v>
      </c>
      <c r="J6" s="136">
        <f>+H6/F6</f>
        <v>0</v>
      </c>
      <c r="K6" s="136">
        <f>+(G6/F6)*E6</f>
        <v>2.5000000000000001E-2</v>
      </c>
      <c r="L6" s="136">
        <f>+(H6/F6)*E6</f>
        <v>0</v>
      </c>
      <c r="M6" s="130">
        <v>1</v>
      </c>
      <c r="N6" s="542"/>
      <c r="O6" s="542"/>
      <c r="P6" s="542"/>
      <c r="Q6" s="130"/>
      <c r="R6" s="130">
        <f>+N6+O6+P6+Q6</f>
        <v>0</v>
      </c>
      <c r="S6" s="130">
        <f>+R6+M6</f>
        <v>1</v>
      </c>
      <c r="T6" s="136">
        <v>1</v>
      </c>
      <c r="U6" s="136"/>
      <c r="V6" s="138">
        <f>+T6*E6</f>
        <v>0.05</v>
      </c>
      <c r="W6" s="138">
        <f>+U6*E6</f>
        <v>0</v>
      </c>
      <c r="X6" s="136">
        <f>+M6/F6</f>
        <v>1</v>
      </c>
      <c r="Y6" s="136">
        <f>+S6/F6</f>
        <v>1</v>
      </c>
      <c r="Z6" s="136">
        <f>+X6*E6</f>
        <v>0.05</v>
      </c>
      <c r="AA6" s="136">
        <f>+Y6*E6</f>
        <v>0.05</v>
      </c>
      <c r="AB6" s="106"/>
      <c r="AC6" s="106"/>
      <c r="AD6" s="106"/>
      <c r="AE6" s="106"/>
      <c r="AF6" s="106"/>
      <c r="AG6" s="106"/>
      <c r="AH6" s="106"/>
      <c r="AI6" s="106"/>
      <c r="AJ6" s="106"/>
      <c r="AK6" s="106"/>
      <c r="AL6" s="106"/>
      <c r="AM6" s="106"/>
      <c r="AN6" s="106"/>
      <c r="AO6" s="106"/>
      <c r="AP6" s="106"/>
      <c r="AQ6" s="106"/>
      <c r="AR6" s="106"/>
      <c r="AS6" s="106"/>
      <c r="AT6" s="106"/>
      <c r="AU6" s="106"/>
      <c r="AV6" s="106"/>
      <c r="AW6" s="106"/>
    </row>
    <row r="7" spans="1:49" ht="89.4" customHeight="1" thickBot="1" x14ac:dyDescent="0.4">
      <c r="A7" s="110"/>
      <c r="B7" s="140" t="s">
        <v>682</v>
      </c>
      <c r="C7" s="791" t="s">
        <v>1392</v>
      </c>
      <c r="D7" s="125" t="s">
        <v>683</v>
      </c>
      <c r="E7" s="134">
        <v>0.25</v>
      </c>
      <c r="F7" s="135">
        <v>4</v>
      </c>
      <c r="G7" s="130">
        <v>2</v>
      </c>
      <c r="H7" s="130">
        <v>2</v>
      </c>
      <c r="I7" s="136">
        <f>+G7/F7</f>
        <v>0.5</v>
      </c>
      <c r="J7" s="136">
        <f t="shared" ref="J7:J14" si="0">+H7/F7</f>
        <v>0.5</v>
      </c>
      <c r="K7" s="136">
        <f>+(G7/F7)*E7</f>
        <v>0.125</v>
      </c>
      <c r="L7" s="136">
        <f t="shared" ref="L7:L14" si="1">+(H7/F7)*E7</f>
        <v>0.125</v>
      </c>
      <c r="M7" s="130">
        <v>2</v>
      </c>
      <c r="N7" s="542">
        <v>0</v>
      </c>
      <c r="O7" s="542">
        <v>0.2</v>
      </c>
      <c r="P7" s="542">
        <v>0.2</v>
      </c>
      <c r="Q7" s="130"/>
      <c r="R7" s="130">
        <f t="shared" ref="R7:R10" si="2">+N7+O7+P7+Q7</f>
        <v>0.4</v>
      </c>
      <c r="S7" s="130">
        <f t="shared" ref="S7:S10" si="3">+R7+M7</f>
        <v>2.4</v>
      </c>
      <c r="T7" s="136">
        <f>+(M7/G7)</f>
        <v>1</v>
      </c>
      <c r="U7" s="136">
        <f t="shared" ref="U7:U14" si="4">+R7/H7</f>
        <v>0.2</v>
      </c>
      <c r="V7" s="138">
        <f>+T7*E7</f>
        <v>0.25</v>
      </c>
      <c r="W7" s="138">
        <f t="shared" ref="W7:W14" si="5">+U7*E7</f>
        <v>0.05</v>
      </c>
      <c r="X7" s="136">
        <f>+M7/F7</f>
        <v>0.5</v>
      </c>
      <c r="Y7" s="136">
        <f t="shared" ref="Y7:Y13" si="6">+S7/F7</f>
        <v>0.6</v>
      </c>
      <c r="Z7" s="136">
        <f>+X7*E7</f>
        <v>0.125</v>
      </c>
      <c r="AA7" s="136">
        <f>+Y7*E7</f>
        <v>0.15</v>
      </c>
      <c r="AB7" s="106"/>
      <c r="AC7" s="106"/>
      <c r="AD7" s="106"/>
      <c r="AE7" s="106"/>
      <c r="AF7" s="106"/>
      <c r="AG7" s="106"/>
      <c r="AH7" s="106"/>
      <c r="AI7" s="106"/>
      <c r="AJ7" s="106"/>
      <c r="AK7" s="106"/>
      <c r="AL7" s="106"/>
      <c r="AM7" s="106"/>
      <c r="AN7" s="106"/>
      <c r="AO7" s="106"/>
      <c r="AP7" s="106"/>
      <c r="AQ7" s="106"/>
      <c r="AR7" s="106"/>
      <c r="AS7" s="106"/>
      <c r="AT7" s="106"/>
      <c r="AU7" s="106"/>
      <c r="AV7" s="106"/>
      <c r="AW7" s="106"/>
    </row>
    <row r="8" spans="1:49" ht="93.6" customHeight="1" thickBot="1" x14ac:dyDescent="0.4">
      <c r="A8" s="110"/>
      <c r="B8" s="140" t="s">
        <v>684</v>
      </c>
      <c r="C8" s="791" t="s">
        <v>1393</v>
      </c>
      <c r="D8" s="141" t="s">
        <v>683</v>
      </c>
      <c r="E8" s="134">
        <v>0.25</v>
      </c>
      <c r="F8" s="135">
        <v>8</v>
      </c>
      <c r="G8" s="130">
        <v>2</v>
      </c>
      <c r="H8" s="130">
        <v>4</v>
      </c>
      <c r="I8" s="136">
        <f>+G8/F8</f>
        <v>0.25</v>
      </c>
      <c r="J8" s="136">
        <f t="shared" si="0"/>
        <v>0.5</v>
      </c>
      <c r="K8" s="136">
        <f>+(G8/F8)*E8</f>
        <v>6.25E-2</v>
      </c>
      <c r="L8" s="136">
        <f>+(H8/F8)*E8</f>
        <v>0.125</v>
      </c>
      <c r="M8" s="130">
        <v>2</v>
      </c>
      <c r="N8" s="542">
        <v>0</v>
      </c>
      <c r="O8" s="542">
        <v>0.5</v>
      </c>
      <c r="P8" s="542">
        <v>0.5</v>
      </c>
      <c r="Q8" s="130"/>
      <c r="R8" s="130">
        <f t="shared" si="2"/>
        <v>1</v>
      </c>
      <c r="S8" s="130">
        <f t="shared" si="3"/>
        <v>3</v>
      </c>
      <c r="T8" s="136">
        <f>+(M8/G8)</f>
        <v>1</v>
      </c>
      <c r="U8" s="136">
        <f t="shared" si="4"/>
        <v>0.25</v>
      </c>
      <c r="V8" s="138">
        <f>+T8*E8</f>
        <v>0.25</v>
      </c>
      <c r="W8" s="138">
        <f t="shared" si="5"/>
        <v>6.25E-2</v>
      </c>
      <c r="X8" s="136">
        <f>+M8/F8</f>
        <v>0.25</v>
      </c>
      <c r="Y8" s="136">
        <f t="shared" si="6"/>
        <v>0.375</v>
      </c>
      <c r="Z8" s="136">
        <f>+X8*E8</f>
        <v>6.25E-2</v>
      </c>
      <c r="AA8" s="136">
        <f>+Y8*E8</f>
        <v>9.375E-2</v>
      </c>
      <c r="AB8" s="106"/>
      <c r="AC8" s="106"/>
      <c r="AD8" s="106"/>
      <c r="AE8" s="106"/>
      <c r="AF8" s="106"/>
      <c r="AG8" s="106"/>
      <c r="AH8" s="106"/>
      <c r="AI8" s="106"/>
      <c r="AJ8" s="106"/>
      <c r="AK8" s="106"/>
      <c r="AL8" s="106"/>
      <c r="AM8" s="106"/>
      <c r="AN8" s="106"/>
      <c r="AO8" s="106"/>
      <c r="AP8" s="106"/>
      <c r="AQ8" s="106"/>
      <c r="AR8" s="106"/>
      <c r="AS8" s="106"/>
      <c r="AT8" s="106"/>
      <c r="AU8" s="106"/>
      <c r="AV8" s="106"/>
      <c r="AW8" s="106"/>
    </row>
    <row r="9" spans="1:49" ht="75.599999999999994" customHeight="1" thickBot="1" x14ac:dyDescent="0.4">
      <c r="A9" s="110"/>
      <c r="B9" s="800" t="s">
        <v>685</v>
      </c>
      <c r="C9" s="802" t="s">
        <v>1394</v>
      </c>
      <c r="D9" s="143" t="s">
        <v>683</v>
      </c>
      <c r="E9" s="134">
        <v>0.4</v>
      </c>
      <c r="F9" s="135">
        <v>4</v>
      </c>
      <c r="G9" s="130">
        <v>2</v>
      </c>
      <c r="H9" s="585">
        <v>1</v>
      </c>
      <c r="I9" s="136">
        <f>+G9/F9</f>
        <v>0.5</v>
      </c>
      <c r="J9" s="136">
        <f t="shared" si="0"/>
        <v>0.25</v>
      </c>
      <c r="K9" s="209">
        <f>+(G9/F9)*E9</f>
        <v>0.2</v>
      </c>
      <c r="L9" s="136">
        <f t="shared" si="1"/>
        <v>0.1</v>
      </c>
      <c r="M9" s="130">
        <v>2</v>
      </c>
      <c r="N9" s="542">
        <v>0</v>
      </c>
      <c r="O9" s="542">
        <v>0</v>
      </c>
      <c r="P9" s="542">
        <v>0</v>
      </c>
      <c r="Q9" s="130"/>
      <c r="R9" s="130">
        <f t="shared" si="2"/>
        <v>0</v>
      </c>
      <c r="S9" s="130">
        <f t="shared" si="3"/>
        <v>2</v>
      </c>
      <c r="T9" s="136">
        <f>+(M9/G9)</f>
        <v>1</v>
      </c>
      <c r="U9" s="136"/>
      <c r="V9" s="138">
        <f>+T9*E9</f>
        <v>0.4</v>
      </c>
      <c r="W9" s="138">
        <f t="shared" si="5"/>
        <v>0</v>
      </c>
      <c r="X9" s="136">
        <f>+M9/F9</f>
        <v>0.5</v>
      </c>
      <c r="Y9" s="136">
        <f t="shared" si="6"/>
        <v>0.5</v>
      </c>
      <c r="Z9" s="136">
        <f>+X9*E9</f>
        <v>0.2</v>
      </c>
      <c r="AA9" s="136">
        <f>+Y9*E9</f>
        <v>0.2</v>
      </c>
      <c r="AB9" s="106"/>
      <c r="AC9" s="106"/>
      <c r="AD9" s="106"/>
      <c r="AE9" s="106"/>
      <c r="AF9" s="106"/>
      <c r="AG9" s="106"/>
      <c r="AH9" s="106"/>
      <c r="AI9" s="106"/>
      <c r="AJ9" s="106"/>
      <c r="AK9" s="106"/>
      <c r="AL9" s="106"/>
      <c r="AM9" s="106"/>
      <c r="AN9" s="106"/>
      <c r="AO9" s="106"/>
      <c r="AP9" s="106"/>
      <c r="AQ9" s="106"/>
      <c r="AR9" s="106"/>
      <c r="AS9" s="106"/>
      <c r="AT9" s="106"/>
      <c r="AU9" s="106"/>
      <c r="AV9" s="106"/>
      <c r="AW9" s="106"/>
    </row>
    <row r="10" spans="1:49" ht="121.2" customHeight="1" thickBot="1" x14ac:dyDescent="0.4">
      <c r="A10" s="110"/>
      <c r="B10" s="140" t="s">
        <v>686</v>
      </c>
      <c r="C10" s="791" t="s">
        <v>1395</v>
      </c>
      <c r="D10" s="144" t="s">
        <v>683</v>
      </c>
      <c r="E10" s="134">
        <v>0.05</v>
      </c>
      <c r="F10" s="135">
        <v>4</v>
      </c>
      <c r="G10" s="130">
        <v>1</v>
      </c>
      <c r="H10" s="130">
        <v>1</v>
      </c>
      <c r="I10" s="136">
        <f>+G10/F10</f>
        <v>0.25</v>
      </c>
      <c r="J10" s="136">
        <f t="shared" si="0"/>
        <v>0.25</v>
      </c>
      <c r="K10" s="136">
        <f>+(G10/F10)*E10</f>
        <v>1.2500000000000001E-2</v>
      </c>
      <c r="L10" s="136">
        <f t="shared" si="1"/>
        <v>1.2500000000000001E-2</v>
      </c>
      <c r="M10" s="130">
        <v>1</v>
      </c>
      <c r="N10" s="542">
        <v>0</v>
      </c>
      <c r="O10" s="542">
        <v>0</v>
      </c>
      <c r="P10" s="542">
        <v>0</v>
      </c>
      <c r="Q10" s="130"/>
      <c r="R10" s="130">
        <f t="shared" si="2"/>
        <v>0</v>
      </c>
      <c r="S10" s="130">
        <f t="shared" si="3"/>
        <v>1</v>
      </c>
      <c r="T10" s="136">
        <f>+(M10/G10)</f>
        <v>1</v>
      </c>
      <c r="U10" s="136">
        <f t="shared" si="4"/>
        <v>0</v>
      </c>
      <c r="V10" s="138">
        <f>+T10*E10</f>
        <v>0.05</v>
      </c>
      <c r="W10" s="138">
        <f t="shared" si="5"/>
        <v>0</v>
      </c>
      <c r="X10" s="136">
        <f>+M10/F10</f>
        <v>0.25</v>
      </c>
      <c r="Y10" s="136">
        <f t="shared" si="6"/>
        <v>0.25</v>
      </c>
      <c r="Z10" s="136">
        <f>+X10*E10</f>
        <v>1.2500000000000001E-2</v>
      </c>
      <c r="AA10" s="136">
        <f>+Y10*E10</f>
        <v>1.2500000000000001E-2</v>
      </c>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row>
    <row r="11" spans="1:49" ht="28.5" customHeight="1" thickBot="1" x14ac:dyDescent="0.4">
      <c r="A11" s="110"/>
      <c r="B11" s="970" t="s">
        <v>1630</v>
      </c>
      <c r="C11" s="971"/>
      <c r="D11" s="144"/>
      <c r="E11" s="126">
        <v>0.6</v>
      </c>
      <c r="F11" s="127"/>
      <c r="G11" s="128"/>
      <c r="H11" s="128"/>
      <c r="I11" s="129">
        <f>+AVERAGE(I12:I14)</f>
        <v>0.25</v>
      </c>
      <c r="J11" s="129">
        <f>+AVERAGE(J12:J14)</f>
        <v>0.26666666666666666</v>
      </c>
      <c r="K11" s="129">
        <f>+K12+K13+K14</f>
        <v>0.25</v>
      </c>
      <c r="L11" s="129">
        <f>+L12+L13+L14</f>
        <v>0.27500000000000002</v>
      </c>
      <c r="M11" s="130"/>
      <c r="N11" s="130"/>
      <c r="O11" s="130"/>
      <c r="P11" s="130"/>
      <c r="Q11" s="130"/>
      <c r="R11" s="130"/>
      <c r="S11" s="130"/>
      <c r="T11" s="150">
        <f>+AVERAGE(T12:T14)</f>
        <v>0.96</v>
      </c>
      <c r="U11" s="150">
        <f>+AVERAGE(U12:U14)</f>
        <v>0.70000000000000007</v>
      </c>
      <c r="V11" s="150">
        <f>+(V12+V13+V14)*E11</f>
        <v>0.56399999999999995</v>
      </c>
      <c r="W11" s="150">
        <f>+(W12+W13+W14)*E11</f>
        <v>0.39</v>
      </c>
      <c r="X11" s="129">
        <f>+AVERAGE(X12:X14)</f>
        <v>0.24</v>
      </c>
      <c r="Y11" s="129">
        <f>+AVERAGE(Y12:Y14)</f>
        <v>0.42333333333333334</v>
      </c>
      <c r="Z11" s="129">
        <f>+(Z12+Z13+Z14)*E11</f>
        <v>0.14099999999999999</v>
      </c>
      <c r="AA11" s="129">
        <f>+(AA12+AA13+AA14)</f>
        <v>0.41000000000000003</v>
      </c>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row>
    <row r="12" spans="1:49" ht="49.2" customHeight="1" thickBot="1" x14ac:dyDescent="0.4">
      <c r="A12" s="110"/>
      <c r="B12" s="800" t="s">
        <v>687</v>
      </c>
      <c r="C12" s="802" t="s">
        <v>1396</v>
      </c>
      <c r="D12" s="144" t="s">
        <v>683</v>
      </c>
      <c r="E12" s="134">
        <v>0.25</v>
      </c>
      <c r="F12" s="135">
        <v>4</v>
      </c>
      <c r="G12" s="130">
        <v>1</v>
      </c>
      <c r="H12" s="130">
        <v>1</v>
      </c>
      <c r="I12" s="136">
        <f>+G12/F12</f>
        <v>0.25</v>
      </c>
      <c r="J12" s="136">
        <f t="shared" si="0"/>
        <v>0.25</v>
      </c>
      <c r="K12" s="136">
        <f>+(G12/F12)*E12</f>
        <v>6.25E-2</v>
      </c>
      <c r="L12" s="136">
        <f t="shared" si="1"/>
        <v>6.25E-2</v>
      </c>
      <c r="M12" s="130">
        <v>1</v>
      </c>
      <c r="N12" s="542">
        <v>0.1</v>
      </c>
      <c r="O12" s="542">
        <v>0.9</v>
      </c>
      <c r="P12" s="542"/>
      <c r="Q12" s="130"/>
      <c r="R12" s="130">
        <f t="shared" ref="R12:R14" si="7">+N12+O12+P12+Q12</f>
        <v>1</v>
      </c>
      <c r="S12" s="130">
        <f t="shared" ref="S12:S14" si="8">+R12+M12</f>
        <v>2</v>
      </c>
      <c r="T12" s="136">
        <f>+(M12/G12)</f>
        <v>1</v>
      </c>
      <c r="U12" s="136">
        <f t="shared" si="4"/>
        <v>1</v>
      </c>
      <c r="V12" s="138">
        <f>+T12*E12</f>
        <v>0.25</v>
      </c>
      <c r="W12" s="138">
        <f t="shared" si="5"/>
        <v>0.25</v>
      </c>
      <c r="X12" s="136">
        <f>+M12/F12</f>
        <v>0.25</v>
      </c>
      <c r="Y12" s="136">
        <f t="shared" si="6"/>
        <v>0.5</v>
      </c>
      <c r="Z12" s="136">
        <f>+X12*E12</f>
        <v>6.25E-2</v>
      </c>
      <c r="AA12" s="136">
        <f>+Y12*E12</f>
        <v>0.125</v>
      </c>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row>
    <row r="13" spans="1:49" ht="57.6" customHeight="1" thickBot="1" x14ac:dyDescent="0.4">
      <c r="A13" s="110"/>
      <c r="B13" s="133" t="s">
        <v>688</v>
      </c>
      <c r="C13" s="142" t="s">
        <v>1397</v>
      </c>
      <c r="D13" s="144" t="s">
        <v>683</v>
      </c>
      <c r="E13" s="134">
        <v>0.5</v>
      </c>
      <c r="F13" s="135">
        <v>100</v>
      </c>
      <c r="G13" s="130">
        <v>25</v>
      </c>
      <c r="H13" s="130">
        <v>30</v>
      </c>
      <c r="I13" s="136">
        <f>+G13/F13</f>
        <v>0.25</v>
      </c>
      <c r="J13" s="136">
        <f t="shared" si="0"/>
        <v>0.3</v>
      </c>
      <c r="K13" s="136">
        <f>+(G13/F13)*E13</f>
        <v>0.125</v>
      </c>
      <c r="L13" s="136">
        <f t="shared" si="1"/>
        <v>0.15</v>
      </c>
      <c r="M13" s="130">
        <v>22</v>
      </c>
      <c r="N13" s="542">
        <v>0</v>
      </c>
      <c r="O13" s="542">
        <v>15</v>
      </c>
      <c r="P13" s="542">
        <v>0</v>
      </c>
      <c r="Q13" s="130"/>
      <c r="R13" s="130">
        <f t="shared" si="7"/>
        <v>15</v>
      </c>
      <c r="S13" s="130">
        <f t="shared" si="8"/>
        <v>37</v>
      </c>
      <c r="T13" s="136">
        <f>+(M13/G13)</f>
        <v>0.88</v>
      </c>
      <c r="U13" s="136">
        <f t="shared" si="4"/>
        <v>0.5</v>
      </c>
      <c r="V13" s="138">
        <f>+T13*E13</f>
        <v>0.44</v>
      </c>
      <c r="W13" s="138">
        <f t="shared" si="5"/>
        <v>0.25</v>
      </c>
      <c r="X13" s="136">
        <f>+M13/F13</f>
        <v>0.22</v>
      </c>
      <c r="Y13" s="136">
        <f t="shared" si="6"/>
        <v>0.37</v>
      </c>
      <c r="Z13" s="136">
        <f>+X13*E13</f>
        <v>0.11</v>
      </c>
      <c r="AA13" s="136">
        <f>+Y13*E13</f>
        <v>0.185</v>
      </c>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row>
    <row r="14" spans="1:49" ht="72.599999999999994" customHeight="1" thickBot="1" x14ac:dyDescent="0.4">
      <c r="A14" s="110"/>
      <c r="B14" s="800" t="s">
        <v>689</v>
      </c>
      <c r="C14" s="802" t="s">
        <v>1398</v>
      </c>
      <c r="D14" s="144" t="s">
        <v>683</v>
      </c>
      <c r="E14" s="134">
        <v>0.25</v>
      </c>
      <c r="F14" s="135">
        <v>4</v>
      </c>
      <c r="G14" s="130">
        <v>1</v>
      </c>
      <c r="H14" s="130">
        <v>1</v>
      </c>
      <c r="I14" s="136">
        <f>+G14/F14</f>
        <v>0.25</v>
      </c>
      <c r="J14" s="136">
        <f t="shared" si="0"/>
        <v>0.25</v>
      </c>
      <c r="K14" s="136">
        <f>+(G14/F14)*E14</f>
        <v>6.25E-2</v>
      </c>
      <c r="L14" s="136">
        <f t="shared" si="1"/>
        <v>6.25E-2</v>
      </c>
      <c r="M14" s="130">
        <v>1</v>
      </c>
      <c r="N14" s="542">
        <v>0.1</v>
      </c>
      <c r="O14" s="542">
        <v>0.1</v>
      </c>
      <c r="P14" s="542">
        <v>0.4</v>
      </c>
      <c r="Q14" s="130"/>
      <c r="R14" s="130">
        <f t="shared" si="7"/>
        <v>0.60000000000000009</v>
      </c>
      <c r="S14" s="130">
        <f t="shared" si="8"/>
        <v>1.6</v>
      </c>
      <c r="T14" s="136">
        <f>+(M14/G14)</f>
        <v>1</v>
      </c>
      <c r="U14" s="136">
        <f t="shared" si="4"/>
        <v>0.60000000000000009</v>
      </c>
      <c r="V14" s="138">
        <f>+T14*E14</f>
        <v>0.25</v>
      </c>
      <c r="W14" s="138">
        <f t="shared" si="5"/>
        <v>0.15000000000000002</v>
      </c>
      <c r="X14" s="136">
        <f>+M14/F14</f>
        <v>0.25</v>
      </c>
      <c r="Y14" s="136">
        <f>+S14/F14</f>
        <v>0.4</v>
      </c>
      <c r="Z14" s="136">
        <f>+X14*E14</f>
        <v>6.25E-2</v>
      </c>
      <c r="AA14" s="136">
        <f>+Y14*E14</f>
        <v>0.1</v>
      </c>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row>
    <row r="15" spans="1:49" ht="93" customHeight="1" thickBot="1" x14ac:dyDescent="0.4">
      <c r="A15" s="110"/>
      <c r="B15" s="976" t="s">
        <v>1719</v>
      </c>
      <c r="C15" s="977"/>
      <c r="D15" s="144"/>
      <c r="E15" s="118">
        <v>0.15</v>
      </c>
      <c r="F15" s="119">
        <f>+E15*V15</f>
        <v>9.7499999999999989E-2</v>
      </c>
      <c r="G15" s="123"/>
      <c r="H15" s="119">
        <f>+E15*W15</f>
        <v>0.104625</v>
      </c>
      <c r="I15" s="121">
        <f>+(I16+I21+I24+I28)/4</f>
        <v>0.28770833333333334</v>
      </c>
      <c r="J15" s="121">
        <f>+(J16+J21+J24+J28)/4</f>
        <v>0.34704861111111107</v>
      </c>
      <c r="K15" s="122">
        <f>+(K16+K21+K24+K28)/4</f>
        <v>0.20433333333333331</v>
      </c>
      <c r="L15" s="122">
        <f>+(L16+L21+L24+L28)/4</f>
        <v>0.33291666666666664</v>
      </c>
      <c r="M15" s="123"/>
      <c r="N15" s="123"/>
      <c r="O15" s="123"/>
      <c r="P15" s="123"/>
      <c r="Q15" s="123"/>
      <c r="R15" s="123"/>
      <c r="S15" s="123"/>
      <c r="T15" s="121">
        <f>+(T16+T21+T24+T28)/4</f>
        <v>1</v>
      </c>
      <c r="U15" s="121">
        <f>+(U16+U21+U24+U28)/4</f>
        <v>0.71083333333333332</v>
      </c>
      <c r="V15" s="122">
        <f>+V16+V21+V24+V28</f>
        <v>0.64999999999999991</v>
      </c>
      <c r="W15" s="122">
        <f>+W16+W21+W24+W28</f>
        <v>0.69750000000000001</v>
      </c>
      <c r="X15" s="121">
        <f>(X16+X21+X24+X28)/4</f>
        <v>0.23097916666666671</v>
      </c>
      <c r="Y15" s="121">
        <f>(Y16+Y21+Y24+Y28)/4</f>
        <v>0.54716777989821885</v>
      </c>
      <c r="Z15" s="122">
        <f>+Z16+Z21+Z24+Z28</f>
        <v>0.373</v>
      </c>
      <c r="AA15" s="122">
        <f>+(AA16*E16)+(AA21*E21)+(AA24*E24)+(AA28*E28)</f>
        <v>0.64006202290076331</v>
      </c>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row>
    <row r="16" spans="1:49" ht="72" customHeight="1" thickBot="1" x14ac:dyDescent="0.4">
      <c r="A16" s="110"/>
      <c r="B16" s="970" t="s">
        <v>1631</v>
      </c>
      <c r="C16" s="971"/>
      <c r="D16" s="144"/>
      <c r="E16" s="126">
        <v>0.25</v>
      </c>
      <c r="F16" s="146"/>
      <c r="G16" s="130"/>
      <c r="H16" s="130"/>
      <c r="I16" s="129">
        <f>+AVERAGE(I17:I20)</f>
        <v>0.25</v>
      </c>
      <c r="J16" s="129">
        <f>+AVERAGE(J17:J20)</f>
        <v>0.21875</v>
      </c>
      <c r="K16" s="129">
        <f>+K17+K18+K19+K20</f>
        <v>0.25</v>
      </c>
      <c r="L16" s="129">
        <f>+L17+L18+L19+L20</f>
        <v>0.22500000000000001</v>
      </c>
      <c r="M16" s="128"/>
      <c r="N16" s="128"/>
      <c r="O16" s="128"/>
      <c r="P16" s="128"/>
      <c r="Q16" s="128"/>
      <c r="R16" s="128"/>
      <c r="S16" s="128"/>
      <c r="T16" s="150">
        <f>+AVERAGE(T17:T20)</f>
        <v>1</v>
      </c>
      <c r="U16" s="150">
        <f>+AVERAGE(U17:U20)</f>
        <v>0.81</v>
      </c>
      <c r="V16" s="150">
        <f>+(V17+V18+V19+V20)*E16</f>
        <v>0.25</v>
      </c>
      <c r="W16" s="150">
        <f>+(W17+W18+W19+W20)*E16</f>
        <v>0.19850000000000001</v>
      </c>
      <c r="X16" s="129">
        <f>+AVERAGE(X17:X20)</f>
        <v>0.4375</v>
      </c>
      <c r="Y16" s="129">
        <f>+AVERAGE(Y17:Y20)</f>
        <v>0.71875</v>
      </c>
      <c r="Z16" s="129">
        <f>+(Z17+Z18+Z19+Z20)*E16</f>
        <v>0.17500000000000002</v>
      </c>
      <c r="AA16" s="129">
        <f>+(AA17+AA18+AA19+AA20)</f>
        <v>0.88749999999999996</v>
      </c>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row>
    <row r="17" spans="1:49" ht="49.95" customHeight="1" thickBot="1" x14ac:dyDescent="0.4">
      <c r="A17" s="110"/>
      <c r="B17" s="133" t="s">
        <v>690</v>
      </c>
      <c r="C17" s="142" t="s">
        <v>1399</v>
      </c>
      <c r="D17" s="144" t="s">
        <v>683</v>
      </c>
      <c r="E17" s="134">
        <v>0.1</v>
      </c>
      <c r="F17" s="135">
        <v>4</v>
      </c>
      <c r="G17" s="130">
        <v>1</v>
      </c>
      <c r="H17" s="130">
        <v>1</v>
      </c>
      <c r="I17" s="136">
        <f>+G17/F17</f>
        <v>0.25</v>
      </c>
      <c r="J17" s="136">
        <f t="shared" ref="J17:J20" si="9">+H17/F17</f>
        <v>0.25</v>
      </c>
      <c r="K17" s="136">
        <f>+(G17/F17)*E17</f>
        <v>2.5000000000000001E-2</v>
      </c>
      <c r="L17" s="136">
        <f t="shared" ref="L17:L20" si="10">+(H17/F17)*E17</f>
        <v>2.5000000000000001E-2</v>
      </c>
      <c r="M17" s="130">
        <v>1</v>
      </c>
      <c r="N17" s="542">
        <v>0</v>
      </c>
      <c r="O17" s="542">
        <v>0.7</v>
      </c>
      <c r="P17" s="542">
        <v>0</v>
      </c>
      <c r="Q17" s="130"/>
      <c r="R17" s="130">
        <f t="shared" ref="R17:R32" si="11">+N17+O17+P17+Q17</f>
        <v>0.7</v>
      </c>
      <c r="S17" s="130">
        <f t="shared" ref="S17:S32" si="12">+R17+M17</f>
        <v>1.7</v>
      </c>
      <c r="T17" s="136">
        <f>+(M17/G17)</f>
        <v>1</v>
      </c>
      <c r="U17" s="136">
        <f t="shared" ref="U17:U20" si="13">+R17/H17</f>
        <v>0.7</v>
      </c>
      <c r="V17" s="136">
        <f>+T17*E17</f>
        <v>0.1</v>
      </c>
      <c r="W17" s="136">
        <f t="shared" ref="W17:W20" si="14">+U17*E17</f>
        <v>6.9999999999999993E-2</v>
      </c>
      <c r="X17" s="136">
        <f>+M17/F17</f>
        <v>0.25</v>
      </c>
      <c r="Y17" s="136">
        <f t="shared" ref="Y17:Y18" si="15">+S17/F17</f>
        <v>0.42499999999999999</v>
      </c>
      <c r="Z17" s="136">
        <f>+X17*E17</f>
        <v>2.5000000000000001E-2</v>
      </c>
      <c r="AA17" s="136">
        <f>+Y17*E17</f>
        <v>4.2500000000000003E-2</v>
      </c>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row>
    <row r="18" spans="1:49" ht="70.95" customHeight="1" thickBot="1" x14ac:dyDescent="0.4">
      <c r="A18" s="147"/>
      <c r="B18" s="133" t="s">
        <v>691</v>
      </c>
      <c r="C18" s="142" t="s">
        <v>1400</v>
      </c>
      <c r="D18" s="144" t="s">
        <v>683</v>
      </c>
      <c r="E18" s="134">
        <v>0.1</v>
      </c>
      <c r="F18" s="135">
        <v>4</v>
      </c>
      <c r="G18" s="130">
        <v>1</v>
      </c>
      <c r="H18" s="130">
        <v>1</v>
      </c>
      <c r="I18" s="136">
        <f>+G18/F18</f>
        <v>0.25</v>
      </c>
      <c r="J18" s="136">
        <f t="shared" si="9"/>
        <v>0.25</v>
      </c>
      <c r="K18" s="136">
        <f>+(G18/F18)*E18</f>
        <v>2.5000000000000001E-2</v>
      </c>
      <c r="L18" s="136">
        <f t="shared" si="10"/>
        <v>2.5000000000000001E-2</v>
      </c>
      <c r="M18" s="130">
        <v>1</v>
      </c>
      <c r="N18" s="542">
        <v>0.1</v>
      </c>
      <c r="O18" s="542">
        <v>0.6</v>
      </c>
      <c r="P18" s="542">
        <v>0.1</v>
      </c>
      <c r="Q18" s="130"/>
      <c r="R18" s="130">
        <f t="shared" si="11"/>
        <v>0.79999999999999993</v>
      </c>
      <c r="S18" s="130">
        <f t="shared" si="12"/>
        <v>1.7999999999999998</v>
      </c>
      <c r="T18" s="136">
        <f>+(M18/G18)</f>
        <v>1</v>
      </c>
      <c r="U18" s="136">
        <f t="shared" si="13"/>
        <v>0.79999999999999993</v>
      </c>
      <c r="V18" s="136">
        <f>+T18*E18</f>
        <v>0.1</v>
      </c>
      <c r="W18" s="136">
        <f t="shared" si="14"/>
        <v>0.08</v>
      </c>
      <c r="X18" s="136">
        <f>+M18/F18</f>
        <v>0.25</v>
      </c>
      <c r="Y18" s="136">
        <f t="shared" si="15"/>
        <v>0.44999999999999996</v>
      </c>
      <c r="Z18" s="136">
        <f>+X18*E18</f>
        <v>2.5000000000000001E-2</v>
      </c>
      <c r="AA18" s="136">
        <f>+Y18*E18</f>
        <v>4.4999999999999998E-2</v>
      </c>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row>
    <row r="19" spans="1:49" ht="70.2" customHeight="1" thickBot="1" x14ac:dyDescent="0.4">
      <c r="A19" s="110"/>
      <c r="B19" s="140" t="s">
        <v>692</v>
      </c>
      <c r="C19" s="916" t="s">
        <v>1401</v>
      </c>
      <c r="D19" s="144" t="s">
        <v>683</v>
      </c>
      <c r="E19" s="134">
        <v>0.6</v>
      </c>
      <c r="F19" s="135">
        <v>400</v>
      </c>
      <c r="G19" s="130">
        <v>100</v>
      </c>
      <c r="H19" s="585">
        <v>100</v>
      </c>
      <c r="I19" s="136">
        <f>+G19/F19</f>
        <v>0.25</v>
      </c>
      <c r="J19" s="136">
        <f t="shared" si="9"/>
        <v>0.25</v>
      </c>
      <c r="K19" s="136">
        <f>+(G19/F19)*E19</f>
        <v>0.15</v>
      </c>
      <c r="L19" s="136">
        <f t="shared" si="10"/>
        <v>0.15</v>
      </c>
      <c r="M19" s="130">
        <v>630</v>
      </c>
      <c r="N19" s="542">
        <v>0</v>
      </c>
      <c r="O19" s="542">
        <v>58</v>
      </c>
      <c r="P19" s="542">
        <v>16</v>
      </c>
      <c r="Q19" s="130"/>
      <c r="R19" s="130">
        <f t="shared" si="11"/>
        <v>74</v>
      </c>
      <c r="S19" s="130">
        <f t="shared" si="12"/>
        <v>704</v>
      </c>
      <c r="T19" s="136">
        <v>1</v>
      </c>
      <c r="U19" s="136">
        <f t="shared" si="13"/>
        <v>0.74</v>
      </c>
      <c r="V19" s="136">
        <f>+T19*E19</f>
        <v>0.6</v>
      </c>
      <c r="W19" s="136">
        <f t="shared" si="14"/>
        <v>0.44400000000000001</v>
      </c>
      <c r="X19" s="136">
        <v>1</v>
      </c>
      <c r="Y19" s="136">
        <v>1</v>
      </c>
      <c r="Z19" s="136">
        <f>+X19*E19</f>
        <v>0.6</v>
      </c>
      <c r="AA19" s="136">
        <f>+Y19*E19</f>
        <v>0.6</v>
      </c>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row>
    <row r="20" spans="1:49" ht="45" customHeight="1" thickBot="1" x14ac:dyDescent="0.4">
      <c r="A20" s="110"/>
      <c r="B20" s="133" t="s">
        <v>693</v>
      </c>
      <c r="C20" s="142" t="s">
        <v>1402</v>
      </c>
      <c r="D20" s="144" t="s">
        <v>683</v>
      </c>
      <c r="E20" s="134">
        <v>0.2</v>
      </c>
      <c r="F20" s="135">
        <v>4</v>
      </c>
      <c r="G20" s="130">
        <v>1</v>
      </c>
      <c r="H20" s="130">
        <v>0.5</v>
      </c>
      <c r="I20" s="136">
        <f>+G20/F20</f>
        <v>0.25</v>
      </c>
      <c r="J20" s="136">
        <f t="shared" si="9"/>
        <v>0.125</v>
      </c>
      <c r="K20" s="136">
        <f>+(G20/F20)*E20</f>
        <v>0.05</v>
      </c>
      <c r="L20" s="136">
        <f t="shared" si="10"/>
        <v>2.5000000000000001E-2</v>
      </c>
      <c r="M20" s="130">
        <v>1</v>
      </c>
      <c r="N20" s="542">
        <v>0</v>
      </c>
      <c r="O20" s="542">
        <v>0.5</v>
      </c>
      <c r="P20" s="542">
        <v>0</v>
      </c>
      <c r="Q20" s="130"/>
      <c r="R20" s="130">
        <f t="shared" si="11"/>
        <v>0.5</v>
      </c>
      <c r="S20" s="130">
        <f t="shared" si="12"/>
        <v>1.5</v>
      </c>
      <c r="T20" s="136">
        <f>+(M20/G20)</f>
        <v>1</v>
      </c>
      <c r="U20" s="136">
        <f t="shared" si="13"/>
        <v>1</v>
      </c>
      <c r="V20" s="136">
        <f>+T20*E20</f>
        <v>0.2</v>
      </c>
      <c r="W20" s="136">
        <f t="shared" si="14"/>
        <v>0.2</v>
      </c>
      <c r="X20" s="136">
        <f>+M20/F20</f>
        <v>0.25</v>
      </c>
      <c r="Y20" s="136">
        <v>1</v>
      </c>
      <c r="Z20" s="136">
        <f>+X20*E20</f>
        <v>0.05</v>
      </c>
      <c r="AA20" s="136">
        <f>+Y20*E20</f>
        <v>0.2</v>
      </c>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row>
    <row r="21" spans="1:49" ht="42.75" customHeight="1" thickBot="1" x14ac:dyDescent="0.4">
      <c r="A21" s="110"/>
      <c r="B21" s="970" t="s">
        <v>1632</v>
      </c>
      <c r="C21" s="971"/>
      <c r="D21" s="144"/>
      <c r="E21" s="126">
        <v>0.1</v>
      </c>
      <c r="F21" s="135"/>
      <c r="G21" s="130"/>
      <c r="H21" s="130"/>
      <c r="I21" s="129">
        <f>+AVERAGE(I22:I23)</f>
        <v>0.13416666666666666</v>
      </c>
      <c r="J21" s="129">
        <f>+AVERAGE(J22:J23)</f>
        <v>0.15833333333333333</v>
      </c>
      <c r="K21" s="129">
        <f>+K22+K23</f>
        <v>0.15733333333333333</v>
      </c>
      <c r="L21" s="129">
        <f>+L22+L23</f>
        <v>0.17666666666666667</v>
      </c>
      <c r="M21" s="130"/>
      <c r="N21" s="130"/>
      <c r="O21" s="130"/>
      <c r="P21" s="130"/>
      <c r="Q21" s="130"/>
      <c r="R21" s="130"/>
      <c r="S21" s="130"/>
      <c r="T21" s="150">
        <f>+AVERAGE(T22:T23)</f>
        <v>1</v>
      </c>
      <c r="U21" s="150">
        <f>+AVERAGE(U22:U23)</f>
        <v>0.6166666666666667</v>
      </c>
      <c r="V21" s="150">
        <f>+(V22+V23)*E21</f>
        <v>0.1</v>
      </c>
      <c r="W21" s="150">
        <f>+(W22+W23)*E21</f>
        <v>6.3999999999999987E-2</v>
      </c>
      <c r="X21" s="129">
        <f>+AVERAGE(X22:X23)</f>
        <v>0.22916666666666669</v>
      </c>
      <c r="Y21" s="129">
        <f>+AVERAGE(Y22:Y23)</f>
        <v>0.44192111959287533</v>
      </c>
      <c r="Z21" s="129">
        <f>+(Z22+Z23)*E21</f>
        <v>2.7000000000000003E-2</v>
      </c>
      <c r="AA21" s="129">
        <f>+(AA22+AA23)</f>
        <v>0.47687022900763359</v>
      </c>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row>
    <row r="22" spans="1:49" ht="60" customHeight="1" thickBot="1" x14ac:dyDescent="0.4">
      <c r="A22" s="110"/>
      <c r="B22" s="140" t="s">
        <v>694</v>
      </c>
      <c r="C22" s="916" t="s">
        <v>1403</v>
      </c>
      <c r="D22" s="148" t="s">
        <v>696</v>
      </c>
      <c r="E22" s="149">
        <v>0.6</v>
      </c>
      <c r="F22" s="135">
        <v>60</v>
      </c>
      <c r="G22" s="130">
        <v>15</v>
      </c>
      <c r="H22" s="130">
        <v>15</v>
      </c>
      <c r="I22" s="136">
        <f>+G22/F22</f>
        <v>0.25</v>
      </c>
      <c r="J22" s="136">
        <f t="shared" ref="J22:J23" si="16">+H22/F22</f>
        <v>0.25</v>
      </c>
      <c r="K22" s="136">
        <f>+(G22/F22)*E22</f>
        <v>0.15</v>
      </c>
      <c r="L22" s="136">
        <f t="shared" ref="L22:L23" si="17">+(H22/F22)*E22</f>
        <v>0.15</v>
      </c>
      <c r="M22" s="130">
        <v>26</v>
      </c>
      <c r="N22" s="542">
        <v>4</v>
      </c>
      <c r="O22" s="542">
        <v>3</v>
      </c>
      <c r="P22" s="542">
        <v>4</v>
      </c>
      <c r="Q22" s="130"/>
      <c r="R22" s="130">
        <f t="shared" si="11"/>
        <v>11</v>
      </c>
      <c r="S22" s="130">
        <f t="shared" si="12"/>
        <v>37</v>
      </c>
      <c r="T22" s="136">
        <v>1</v>
      </c>
      <c r="U22" s="136">
        <f t="shared" ref="U22:U23" si="18">+R22/H22</f>
        <v>0.73333333333333328</v>
      </c>
      <c r="V22" s="136">
        <f>+T22*E22</f>
        <v>0.6</v>
      </c>
      <c r="W22" s="136">
        <f t="shared" ref="W22:W23" si="19">+U22*E22</f>
        <v>0.43999999999999995</v>
      </c>
      <c r="X22" s="136">
        <f>+M22/F22</f>
        <v>0.43333333333333335</v>
      </c>
      <c r="Y22" s="136">
        <f t="shared" ref="Y22" si="20">+S22/F22</f>
        <v>0.6166666666666667</v>
      </c>
      <c r="Z22" s="136">
        <f>+X22*E22</f>
        <v>0.26</v>
      </c>
      <c r="AA22" s="136">
        <f>+Y22*E22</f>
        <v>0.37</v>
      </c>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row>
    <row r="23" spans="1:49" ht="73.2" customHeight="1" thickBot="1" x14ac:dyDescent="0.4">
      <c r="A23" s="110"/>
      <c r="B23" s="140" t="s">
        <v>695</v>
      </c>
      <c r="C23" s="916" t="s">
        <v>1404</v>
      </c>
      <c r="D23" s="148" t="s">
        <v>696</v>
      </c>
      <c r="E23" s="149">
        <v>0.4</v>
      </c>
      <c r="F23" s="135">
        <v>1200</v>
      </c>
      <c r="G23" s="130">
        <v>22</v>
      </c>
      <c r="H23" s="130">
        <v>80</v>
      </c>
      <c r="I23" s="136">
        <f>+G23/F23</f>
        <v>1.8333333333333333E-2</v>
      </c>
      <c r="J23" s="136">
        <f t="shared" si="16"/>
        <v>6.6666666666666666E-2</v>
      </c>
      <c r="K23" s="136">
        <f>+(G23/F23)*E23</f>
        <v>7.3333333333333341E-3</v>
      </c>
      <c r="L23" s="136">
        <f t="shared" si="17"/>
        <v>2.6666666666666668E-2</v>
      </c>
      <c r="M23" s="130">
        <v>30</v>
      </c>
      <c r="N23" s="542">
        <v>25</v>
      </c>
      <c r="O23" s="542">
        <v>15</v>
      </c>
      <c r="P23" s="542">
        <v>0</v>
      </c>
      <c r="Q23" s="130"/>
      <c r="R23" s="130">
        <f t="shared" si="11"/>
        <v>40</v>
      </c>
      <c r="S23" s="130">
        <f t="shared" si="12"/>
        <v>70</v>
      </c>
      <c r="T23" s="136">
        <v>1</v>
      </c>
      <c r="U23" s="136">
        <f t="shared" si="18"/>
        <v>0.5</v>
      </c>
      <c r="V23" s="136">
        <f>+T23*E23</f>
        <v>0.4</v>
      </c>
      <c r="W23" s="136">
        <f t="shared" si="19"/>
        <v>0.2</v>
      </c>
      <c r="X23" s="136">
        <f>+M23/F23</f>
        <v>2.5000000000000001E-2</v>
      </c>
      <c r="Y23" s="136">
        <f>+S23/262</f>
        <v>0.26717557251908397</v>
      </c>
      <c r="Z23" s="136">
        <f>+X23*E23</f>
        <v>1.0000000000000002E-2</v>
      </c>
      <c r="AA23" s="136">
        <f>+Y23*E23</f>
        <v>0.1068702290076336</v>
      </c>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row>
    <row r="24" spans="1:49" ht="102.6" customHeight="1" thickBot="1" x14ac:dyDescent="0.4">
      <c r="A24" s="110"/>
      <c r="B24" s="970" t="s">
        <v>1633</v>
      </c>
      <c r="C24" s="971"/>
      <c r="D24" s="144"/>
      <c r="E24" s="126">
        <v>0.3</v>
      </c>
      <c r="F24" s="146"/>
      <c r="G24" s="123"/>
      <c r="H24" s="123"/>
      <c r="I24" s="129">
        <f>+AVERAGE(I25:I27)</f>
        <v>0.16666666666666666</v>
      </c>
      <c r="J24" s="129">
        <f>+AVERAGE(J25:J27)</f>
        <v>0.41111111111111115</v>
      </c>
      <c r="K24" s="129">
        <f>+K25+K26+K27</f>
        <v>4.9999999999999996E-2</v>
      </c>
      <c r="L24" s="129">
        <f>+L25+L26+L27</f>
        <v>0.43999999999999995</v>
      </c>
      <c r="M24" s="128"/>
      <c r="N24" s="128"/>
      <c r="O24" s="128"/>
      <c r="P24" s="128"/>
      <c r="Q24" s="128"/>
      <c r="R24" s="130"/>
      <c r="S24" s="130"/>
      <c r="T24" s="150">
        <f>+AVERAGE(T25:T27)</f>
        <v>1</v>
      </c>
      <c r="U24" s="150">
        <f>+AVERAGE(U25:U27)</f>
        <v>0.66666666666666663</v>
      </c>
      <c r="V24" s="150">
        <f>+(V25+V26+V27)*E24</f>
        <v>0.09</v>
      </c>
      <c r="W24" s="150">
        <f>+(W25+W26+W27)*E24</f>
        <v>0.12</v>
      </c>
      <c r="X24" s="129">
        <f>+AVERAGE(X25:X29)*0.33</f>
        <v>0.10725000000000001</v>
      </c>
      <c r="Y24" s="129">
        <f>+(Y25*0.33)+(Y26*0.33)+(Y27*0.33)</f>
        <v>0.52800000000000002</v>
      </c>
      <c r="Z24" s="129">
        <f>+(Z25+Z26+Z27)*E24</f>
        <v>4.4999999999999998E-2</v>
      </c>
      <c r="AA24" s="129">
        <f>+(AA25+AA26+AA27)</f>
        <v>0.36</v>
      </c>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row>
    <row r="25" spans="1:49" ht="99" customHeight="1" thickBot="1" x14ac:dyDescent="0.4">
      <c r="A25" s="110"/>
      <c r="B25" s="133" t="s">
        <v>697</v>
      </c>
      <c r="C25" s="142" t="s">
        <v>1405</v>
      </c>
      <c r="D25" s="148" t="s">
        <v>698</v>
      </c>
      <c r="E25" s="149">
        <v>0.3</v>
      </c>
      <c r="F25" s="135">
        <v>60</v>
      </c>
      <c r="G25" s="130">
        <v>10</v>
      </c>
      <c r="H25" s="130">
        <v>20</v>
      </c>
      <c r="I25" s="136">
        <f>+G25/F25</f>
        <v>0.16666666666666666</v>
      </c>
      <c r="J25" s="136">
        <f t="shared" ref="J25:J27" si="21">+H25/F25</f>
        <v>0.33333333333333331</v>
      </c>
      <c r="K25" s="136">
        <f>+(G25/F25)*E25</f>
        <v>4.9999999999999996E-2</v>
      </c>
      <c r="L25" s="136">
        <f t="shared" ref="L25:L27" si="22">+(H25/F25)*E25</f>
        <v>9.9999999999999992E-2</v>
      </c>
      <c r="M25" s="130">
        <v>30</v>
      </c>
      <c r="N25" s="542">
        <v>14</v>
      </c>
      <c r="O25" s="542">
        <v>2</v>
      </c>
      <c r="P25" s="542">
        <v>16</v>
      </c>
      <c r="Q25" s="130"/>
      <c r="R25" s="130">
        <f t="shared" si="11"/>
        <v>32</v>
      </c>
      <c r="S25" s="130">
        <f t="shared" si="12"/>
        <v>62</v>
      </c>
      <c r="T25" s="136">
        <v>1</v>
      </c>
      <c r="U25" s="136">
        <v>1</v>
      </c>
      <c r="V25" s="136">
        <f>+T25*E25</f>
        <v>0.3</v>
      </c>
      <c r="W25" s="136">
        <f t="shared" ref="W25:W27" si="23">+U25*E25</f>
        <v>0.3</v>
      </c>
      <c r="X25" s="136">
        <f>+M25/F25</f>
        <v>0.5</v>
      </c>
      <c r="Y25" s="136">
        <v>1</v>
      </c>
      <c r="Z25" s="136">
        <f>+X25*E25</f>
        <v>0.15</v>
      </c>
      <c r="AA25" s="136">
        <f>+Y25*E25</f>
        <v>0.3</v>
      </c>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row>
    <row r="26" spans="1:49" ht="116.4" customHeight="1" thickBot="1" x14ac:dyDescent="0.4">
      <c r="A26" s="110"/>
      <c r="B26" s="133" t="s">
        <v>699</v>
      </c>
      <c r="C26" s="142" t="s">
        <v>1406</v>
      </c>
      <c r="D26" s="144" t="s">
        <v>700</v>
      </c>
      <c r="E26" s="134">
        <v>0.6</v>
      </c>
      <c r="F26" s="135">
        <v>2</v>
      </c>
      <c r="G26" s="130">
        <v>0</v>
      </c>
      <c r="H26" s="130">
        <v>1</v>
      </c>
      <c r="I26" s="136"/>
      <c r="J26" s="136">
        <f t="shared" si="21"/>
        <v>0.5</v>
      </c>
      <c r="K26" s="136"/>
      <c r="L26" s="136">
        <f t="shared" si="22"/>
        <v>0.3</v>
      </c>
      <c r="M26" s="130"/>
      <c r="N26" s="542">
        <v>0</v>
      </c>
      <c r="O26" s="542">
        <v>0</v>
      </c>
      <c r="P26" s="542">
        <v>0</v>
      </c>
      <c r="Q26" s="130"/>
      <c r="R26" s="130">
        <f t="shared" si="11"/>
        <v>0</v>
      </c>
      <c r="S26" s="130">
        <f t="shared" si="12"/>
        <v>0</v>
      </c>
      <c r="T26" s="136"/>
      <c r="U26" s="136">
        <f t="shared" ref="U26" si="24">+R26/H26</f>
        <v>0</v>
      </c>
      <c r="V26" s="136"/>
      <c r="W26" s="136">
        <f t="shared" si="23"/>
        <v>0</v>
      </c>
      <c r="X26" s="136"/>
      <c r="Y26" s="136">
        <v>0</v>
      </c>
      <c r="Z26" s="136"/>
      <c r="AA26" s="13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row>
    <row r="27" spans="1:49" ht="108" customHeight="1" thickBot="1" x14ac:dyDescent="0.4">
      <c r="A27" s="110"/>
      <c r="B27" s="133" t="s">
        <v>701</v>
      </c>
      <c r="C27" s="142" t="s">
        <v>1407</v>
      </c>
      <c r="D27" s="144" t="s">
        <v>1501</v>
      </c>
      <c r="E27" s="134">
        <v>0.1</v>
      </c>
      <c r="F27" s="135">
        <v>5</v>
      </c>
      <c r="G27" s="130">
        <v>0</v>
      </c>
      <c r="H27" s="130">
        <v>2</v>
      </c>
      <c r="I27" s="136"/>
      <c r="J27" s="136">
        <f t="shared" si="21"/>
        <v>0.4</v>
      </c>
      <c r="K27" s="136"/>
      <c r="L27" s="136">
        <f t="shared" si="22"/>
        <v>4.0000000000000008E-2</v>
      </c>
      <c r="M27" s="130"/>
      <c r="N27" s="542">
        <v>0</v>
      </c>
      <c r="O27" s="542">
        <v>3</v>
      </c>
      <c r="P27" s="542">
        <v>0</v>
      </c>
      <c r="Q27" s="130"/>
      <c r="R27" s="130">
        <f t="shared" si="11"/>
        <v>3</v>
      </c>
      <c r="S27" s="130">
        <f t="shared" si="12"/>
        <v>3</v>
      </c>
      <c r="T27" s="136"/>
      <c r="U27" s="136">
        <v>1</v>
      </c>
      <c r="V27" s="136"/>
      <c r="W27" s="136">
        <f t="shared" si="23"/>
        <v>0.1</v>
      </c>
      <c r="X27" s="136"/>
      <c r="Y27" s="136">
        <f t="shared" ref="Y27" si="25">+S27/F27</f>
        <v>0.6</v>
      </c>
      <c r="Z27" s="136"/>
      <c r="AA27" s="136">
        <f>+Y27*E27</f>
        <v>0.06</v>
      </c>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row>
    <row r="28" spans="1:49" ht="94.95" customHeight="1" thickBot="1" x14ac:dyDescent="0.4">
      <c r="A28" s="110"/>
      <c r="B28" s="970" t="s">
        <v>1634</v>
      </c>
      <c r="C28" s="971"/>
      <c r="D28" s="144"/>
      <c r="E28" s="126">
        <v>0.35</v>
      </c>
      <c r="F28" s="146"/>
      <c r="G28" s="123"/>
      <c r="H28" s="123"/>
      <c r="I28" s="129">
        <f>+AVERAGE(I29:I32)</f>
        <v>0.6</v>
      </c>
      <c r="J28" s="129">
        <f>+AVERAGE(J29:J32)</f>
        <v>0.6</v>
      </c>
      <c r="K28" s="129">
        <f>+K29+K30+K31+K32</f>
        <v>0.36</v>
      </c>
      <c r="L28" s="129">
        <f>+L29+L30+L31+L32</f>
        <v>0.49</v>
      </c>
      <c r="M28" s="128"/>
      <c r="N28" s="128"/>
      <c r="O28" s="128"/>
      <c r="P28" s="128"/>
      <c r="Q28" s="128"/>
      <c r="R28" s="130"/>
      <c r="S28" s="130"/>
      <c r="T28" s="150">
        <f>+AVERAGE(T29:T32)</f>
        <v>1</v>
      </c>
      <c r="U28" s="150">
        <f>+AVERAGE(U29:U32)</f>
        <v>0.75</v>
      </c>
      <c r="V28" s="150">
        <f>+(V29+V30+V31+V32)*E28</f>
        <v>0.21</v>
      </c>
      <c r="W28" s="150">
        <f>+(W29+W30+W31+W32)*E28</f>
        <v>0.31499999999999995</v>
      </c>
      <c r="X28" s="129">
        <f>+AVERAGE(X29:X32)*0.25</f>
        <v>0.15</v>
      </c>
      <c r="Y28" s="129">
        <f>+AVERAGE(Y29:Y32)</f>
        <v>0.5</v>
      </c>
      <c r="Z28" s="129">
        <f>+(Z29+Z30+Z31+Z32)*E28</f>
        <v>0.126</v>
      </c>
      <c r="AA28" s="129">
        <f>+(AA29+AA30+AA31+AA32)</f>
        <v>0.75</v>
      </c>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row>
    <row r="29" spans="1:49" ht="100.2" customHeight="1" thickBot="1" x14ac:dyDescent="0.4">
      <c r="A29" s="110"/>
      <c r="B29" s="133" t="s">
        <v>702</v>
      </c>
      <c r="C29" s="142" t="s">
        <v>1408</v>
      </c>
      <c r="D29" s="144" t="s">
        <v>560</v>
      </c>
      <c r="E29" s="134">
        <v>0.15</v>
      </c>
      <c r="F29" s="135">
        <v>1</v>
      </c>
      <c r="H29" s="130">
        <v>0.5</v>
      </c>
      <c r="I29" s="136"/>
      <c r="J29" s="136">
        <f t="shared" ref="J29:J32" si="26">+H29/F29</f>
        <v>0.5</v>
      </c>
      <c r="K29" s="136"/>
      <c r="L29" s="136">
        <f t="shared" ref="L29:L32" si="27">+(H29/F29)*E29</f>
        <v>7.4999999999999997E-2</v>
      </c>
      <c r="M29" s="130"/>
      <c r="N29" s="542"/>
      <c r="O29" s="542">
        <v>0.1</v>
      </c>
      <c r="P29" s="542">
        <v>0.4</v>
      </c>
      <c r="Q29" s="130"/>
      <c r="R29" s="130">
        <f t="shared" si="11"/>
        <v>0.5</v>
      </c>
      <c r="S29" s="130">
        <f t="shared" si="12"/>
        <v>0.5</v>
      </c>
      <c r="T29" s="136"/>
      <c r="U29" s="136">
        <f t="shared" ref="U29:U30" si="28">+R29/H29</f>
        <v>1</v>
      </c>
      <c r="V29" s="136"/>
      <c r="W29" s="136">
        <f t="shared" ref="W29:W32" si="29">+U29*E29</f>
        <v>0.15</v>
      </c>
      <c r="X29" s="136"/>
      <c r="Y29" s="136">
        <f t="shared" ref="Y29:Y32" si="30">+S29/F29</f>
        <v>0.5</v>
      </c>
      <c r="Z29" s="136"/>
      <c r="AA29" s="136">
        <f>+Y29*E29</f>
        <v>7.4999999999999997E-2</v>
      </c>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row>
    <row r="30" spans="1:49" ht="56.4" customHeight="1" thickBot="1" x14ac:dyDescent="0.4">
      <c r="A30" s="110"/>
      <c r="B30" s="133" t="s">
        <v>703</v>
      </c>
      <c r="C30" s="142" t="s">
        <v>1409</v>
      </c>
      <c r="D30" s="144" t="s">
        <v>560</v>
      </c>
      <c r="E30" s="134">
        <v>0.15</v>
      </c>
      <c r="F30" s="135">
        <v>1</v>
      </c>
      <c r="G30" s="130">
        <v>0</v>
      </c>
      <c r="H30" s="130">
        <v>0.5</v>
      </c>
      <c r="I30" s="136"/>
      <c r="J30" s="136">
        <f t="shared" si="26"/>
        <v>0.5</v>
      </c>
      <c r="K30" s="136"/>
      <c r="L30" s="136">
        <f t="shared" si="27"/>
        <v>7.4999999999999997E-2</v>
      </c>
      <c r="M30" s="130"/>
      <c r="N30" s="542"/>
      <c r="O30" s="542">
        <v>0.1</v>
      </c>
      <c r="P30" s="542">
        <v>0.4</v>
      </c>
      <c r="Q30" s="130"/>
      <c r="R30" s="130">
        <f t="shared" si="11"/>
        <v>0.5</v>
      </c>
      <c r="S30" s="130">
        <f t="shared" si="12"/>
        <v>0.5</v>
      </c>
      <c r="T30" s="136"/>
      <c r="U30" s="136">
        <f t="shared" si="28"/>
        <v>1</v>
      </c>
      <c r="V30" s="136"/>
      <c r="W30" s="136">
        <f t="shared" si="29"/>
        <v>0.15</v>
      </c>
      <c r="X30" s="136"/>
      <c r="Y30" s="136">
        <f t="shared" si="30"/>
        <v>0.5</v>
      </c>
      <c r="Z30" s="136"/>
      <c r="AA30" s="136">
        <f>+Y30*E30</f>
        <v>7.4999999999999997E-2</v>
      </c>
      <c r="AB30" s="117"/>
      <c r="AC30" s="106"/>
      <c r="AD30" s="106"/>
      <c r="AE30" s="106"/>
      <c r="AF30" s="106"/>
      <c r="AG30" s="106"/>
      <c r="AH30" s="106"/>
      <c r="AI30" s="106"/>
      <c r="AJ30" s="106"/>
      <c r="AK30" s="106"/>
      <c r="AL30" s="106"/>
      <c r="AM30" s="106"/>
      <c r="AN30" s="106"/>
      <c r="AO30" s="106"/>
      <c r="AP30" s="106"/>
      <c r="AQ30" s="106"/>
      <c r="AR30" s="106"/>
      <c r="AS30" s="106"/>
      <c r="AT30" s="106"/>
      <c r="AU30" s="106"/>
      <c r="AV30" s="106"/>
      <c r="AW30" s="106"/>
    </row>
    <row r="31" spans="1:49" ht="148.19999999999999" customHeight="1" thickBot="1" x14ac:dyDescent="0.4">
      <c r="A31" s="110"/>
      <c r="B31" s="800" t="s">
        <v>704</v>
      </c>
      <c r="C31" s="802" t="s">
        <v>1410</v>
      </c>
      <c r="D31" s="144" t="s">
        <v>683</v>
      </c>
      <c r="E31" s="134">
        <v>0.6</v>
      </c>
      <c r="F31" s="135">
        <v>1</v>
      </c>
      <c r="G31" s="130">
        <v>0.6</v>
      </c>
      <c r="H31" s="130">
        <v>0.4</v>
      </c>
      <c r="I31" s="136">
        <f>+G31/F31</f>
        <v>0.6</v>
      </c>
      <c r="J31" s="136">
        <f t="shared" si="26"/>
        <v>0.4</v>
      </c>
      <c r="K31" s="136">
        <f>+(G31/F31)*E31</f>
        <v>0.36</v>
      </c>
      <c r="L31" s="136">
        <f t="shared" si="27"/>
        <v>0.24</v>
      </c>
      <c r="M31" s="130">
        <v>0.6</v>
      </c>
      <c r="N31" s="542">
        <v>0.4</v>
      </c>
      <c r="O31" s="542">
        <v>0.1</v>
      </c>
      <c r="P31" s="542">
        <v>0</v>
      </c>
      <c r="Q31" s="130"/>
      <c r="R31" s="130">
        <f t="shared" si="11"/>
        <v>0.5</v>
      </c>
      <c r="S31" s="130">
        <f t="shared" si="12"/>
        <v>1.1000000000000001</v>
      </c>
      <c r="T31" s="136">
        <f>+(M31/G31)</f>
        <v>1</v>
      </c>
      <c r="U31" s="136">
        <v>1</v>
      </c>
      <c r="V31" s="136">
        <f>+T31*E31</f>
        <v>0.6</v>
      </c>
      <c r="W31" s="136">
        <f t="shared" si="29"/>
        <v>0.6</v>
      </c>
      <c r="X31" s="136">
        <f>+M31/F31</f>
        <v>0.6</v>
      </c>
      <c r="Y31" s="136">
        <v>1</v>
      </c>
      <c r="Z31" s="136">
        <f>+X31*E31</f>
        <v>0.36</v>
      </c>
      <c r="AA31" s="136">
        <f>+Y31*E31</f>
        <v>0.6</v>
      </c>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row>
    <row r="32" spans="1:49" ht="81.599999999999994" customHeight="1" thickBot="1" x14ac:dyDescent="0.4">
      <c r="A32" s="110"/>
      <c r="B32" s="133" t="s">
        <v>705</v>
      </c>
      <c r="C32" s="142" t="s">
        <v>1411</v>
      </c>
      <c r="D32" s="144" t="s">
        <v>683</v>
      </c>
      <c r="E32" s="134">
        <v>0.1</v>
      </c>
      <c r="F32" s="135">
        <v>1</v>
      </c>
      <c r="G32" s="130"/>
      <c r="H32" s="130">
        <v>1</v>
      </c>
      <c r="I32" s="136"/>
      <c r="J32" s="136">
        <f t="shared" si="26"/>
        <v>1</v>
      </c>
      <c r="K32" s="136"/>
      <c r="L32" s="136">
        <f t="shared" si="27"/>
        <v>0.1</v>
      </c>
      <c r="M32" s="130"/>
      <c r="N32" s="542"/>
      <c r="O32" s="542"/>
      <c r="P32" s="542"/>
      <c r="Q32" s="130"/>
      <c r="R32" s="130">
        <f t="shared" si="11"/>
        <v>0</v>
      </c>
      <c r="S32" s="130">
        <f t="shared" si="12"/>
        <v>0</v>
      </c>
      <c r="T32" s="136"/>
      <c r="U32" s="136">
        <v>0</v>
      </c>
      <c r="V32" s="136"/>
      <c r="W32" s="136">
        <f t="shared" si="29"/>
        <v>0</v>
      </c>
      <c r="X32" s="136"/>
      <c r="Y32" s="136">
        <f t="shared" si="30"/>
        <v>0</v>
      </c>
      <c r="Z32" s="136"/>
      <c r="AA32" s="136">
        <f>+Y32*E32</f>
        <v>0</v>
      </c>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row>
    <row r="33" spans="1:49" ht="78" customHeight="1" thickBot="1" x14ac:dyDescent="0.4">
      <c r="A33" s="110"/>
      <c r="B33" s="976" t="s">
        <v>1720</v>
      </c>
      <c r="C33" s="971"/>
      <c r="D33" s="144"/>
      <c r="E33" s="118">
        <v>0.15</v>
      </c>
      <c r="F33" s="119">
        <f>+E33*V33</f>
        <v>0.09</v>
      </c>
      <c r="G33" s="123"/>
      <c r="H33" s="119">
        <f>+E33*W33</f>
        <v>5.6989999999999999E-2</v>
      </c>
      <c r="I33" s="121">
        <f>+(I34+I40+I43)/3</f>
        <v>0.36472934472934471</v>
      </c>
      <c r="J33" s="121">
        <f>+(J34+J40+J43)/3</f>
        <v>0.15683760683760684</v>
      </c>
      <c r="K33" s="122">
        <f>+(K34+K40+K43)/3</f>
        <v>0.25547008547008548</v>
      </c>
      <c r="L33" s="122">
        <f>+(L34+L40+L43)/3</f>
        <v>0.16822649572649573</v>
      </c>
      <c r="M33" s="123"/>
      <c r="N33" s="123"/>
      <c r="O33" s="123"/>
      <c r="P33" s="123"/>
      <c r="Q33" s="123"/>
      <c r="R33" s="123"/>
      <c r="S33" s="123"/>
      <c r="T33" s="121">
        <f>+(T34+T40+T43)/3</f>
        <v>0.88888888888888884</v>
      </c>
      <c r="U33" s="121">
        <f>+(U34+U40+U43)/3</f>
        <v>0.65670370370370368</v>
      </c>
      <c r="V33" s="122">
        <f>V34+V40+V43</f>
        <v>0.6</v>
      </c>
      <c r="W33" s="122">
        <f>W34+W40+W43</f>
        <v>0.37993333333333335</v>
      </c>
      <c r="X33" s="121">
        <f>(X34+X40+X43)/3</f>
        <v>0.28650042735042736</v>
      </c>
      <c r="Y33" s="121">
        <f>(Y34+Y40+Y43)/3</f>
        <v>0.42940754985754981</v>
      </c>
      <c r="Z33" s="122">
        <f>Z34+Z40+Z43</f>
        <v>0.23447615384615383</v>
      </c>
      <c r="AA33" s="122">
        <f>(AA34*E34)+(AA40*E40)+(AA43*E43)</f>
        <v>0.34629205128205121</v>
      </c>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row>
    <row r="34" spans="1:49" ht="123.6" customHeight="1" thickBot="1" x14ac:dyDescent="0.4">
      <c r="A34" s="110"/>
      <c r="B34" s="970" t="s">
        <v>1635</v>
      </c>
      <c r="C34" s="971"/>
      <c r="D34" s="144"/>
      <c r="E34" s="126">
        <v>0.5</v>
      </c>
      <c r="F34" s="146"/>
      <c r="G34" s="123"/>
      <c r="H34" s="123"/>
      <c r="I34" s="129">
        <f>+AVERAGE(I35:I39)</f>
        <v>8.6111111111111097E-2</v>
      </c>
      <c r="J34" s="129">
        <f>+AVERAGE(J35:J39)</f>
        <v>8.1666666666666665E-2</v>
      </c>
      <c r="K34" s="129">
        <f>+K35+K36+K37+K38+K39</f>
        <v>5.0833333333333328E-2</v>
      </c>
      <c r="L34" s="129">
        <f>+L35+L36+L37+L38+L39</f>
        <v>0.11583333333333333</v>
      </c>
      <c r="M34" s="128"/>
      <c r="N34" s="128"/>
      <c r="O34" s="128"/>
      <c r="P34" s="128"/>
      <c r="Q34" s="128"/>
      <c r="R34" s="128"/>
      <c r="S34" s="128"/>
      <c r="T34" s="150">
        <f>+AVERAGE(T35:T39)</f>
        <v>0.66666666666666663</v>
      </c>
      <c r="U34" s="150">
        <f>+AVERAGE(U35:U39)</f>
        <v>0.49511111111111111</v>
      </c>
      <c r="V34" s="150">
        <f>+(V35+V36+V37+V38+V39)*E34</f>
        <v>0.22499999999999998</v>
      </c>
      <c r="W34" s="150">
        <f>+(W35+W36+W37+W38+W39)*E34</f>
        <v>0.12993333333333335</v>
      </c>
      <c r="X34" s="129">
        <f>+AVERAGE(X35:X39)</f>
        <v>0.10536666666666666</v>
      </c>
      <c r="Y34" s="129">
        <f>+AVERAGE(Y35:Y39)</f>
        <v>0.22601111111111108</v>
      </c>
      <c r="Z34" s="129">
        <f>+(Z35+Z36+Z37+Z38+Z39)*E34</f>
        <v>4.5942499999999997E-2</v>
      </c>
      <c r="AA34" s="129">
        <f>+(AA35+AA36+AA37+AA38+AA39)</f>
        <v>0.16147833333333331</v>
      </c>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row>
    <row r="35" spans="1:49" ht="78" customHeight="1" thickBot="1" x14ac:dyDescent="0.4">
      <c r="A35" s="110"/>
      <c r="B35" s="800" t="s">
        <v>706</v>
      </c>
      <c r="C35" s="802" t="s">
        <v>1412</v>
      </c>
      <c r="D35" s="148" t="s">
        <v>707</v>
      </c>
      <c r="E35" s="149">
        <v>0.2</v>
      </c>
      <c r="F35" s="135">
        <v>3</v>
      </c>
      <c r="G35" s="130">
        <v>0</v>
      </c>
      <c r="H35" s="130">
        <v>0</v>
      </c>
      <c r="I35" s="136"/>
      <c r="J35" s="136">
        <f t="shared" ref="J35:J39" si="31">+H35/F35</f>
        <v>0</v>
      </c>
      <c r="K35" s="136"/>
      <c r="L35" s="136">
        <f t="shared" ref="L35:L39" si="32">+(H35/F35)*E35</f>
        <v>0</v>
      </c>
      <c r="M35" s="130"/>
      <c r="N35" s="542"/>
      <c r="O35" s="130"/>
      <c r="P35" s="130"/>
      <c r="Q35" s="130"/>
      <c r="R35" s="130">
        <f t="shared" ref="R35:R39" si="33">+N35+O35+P35+Q35</f>
        <v>0</v>
      </c>
      <c r="S35" s="130">
        <f t="shared" ref="S35:S39" si="34">+R35+M35</f>
        <v>0</v>
      </c>
      <c r="T35" s="136"/>
      <c r="U35" s="136"/>
      <c r="V35" s="136"/>
      <c r="W35" s="136">
        <f t="shared" ref="W35:W39" si="35">+U35*E35</f>
        <v>0</v>
      </c>
      <c r="X35" s="136"/>
      <c r="Y35" s="136"/>
      <c r="Z35" s="136"/>
      <c r="AA35" s="136">
        <v>0</v>
      </c>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row>
    <row r="36" spans="1:49" ht="95.4" customHeight="1" thickBot="1" x14ac:dyDescent="0.4">
      <c r="A36" s="110"/>
      <c r="B36" s="800" t="s">
        <v>708</v>
      </c>
      <c r="C36" s="802" t="s">
        <v>1413</v>
      </c>
      <c r="D36" s="148" t="s">
        <v>58</v>
      </c>
      <c r="E36" s="149">
        <v>0.25</v>
      </c>
      <c r="F36" s="135">
        <v>500</v>
      </c>
      <c r="G36" s="130">
        <v>0</v>
      </c>
      <c r="H36" s="130">
        <v>0</v>
      </c>
      <c r="I36" s="136"/>
      <c r="J36" s="136">
        <f t="shared" si="31"/>
        <v>0</v>
      </c>
      <c r="K36" s="136"/>
      <c r="L36" s="136">
        <f t="shared" si="32"/>
        <v>0</v>
      </c>
      <c r="M36" s="130"/>
      <c r="N36" s="542"/>
      <c r="O36" s="130"/>
      <c r="P36" s="130"/>
      <c r="Q36" s="130"/>
      <c r="R36" s="130">
        <f t="shared" si="33"/>
        <v>0</v>
      </c>
      <c r="S36" s="130">
        <f t="shared" si="34"/>
        <v>0</v>
      </c>
      <c r="T36" s="136"/>
      <c r="U36" s="136"/>
      <c r="V36" s="136"/>
      <c r="W36" s="136">
        <f t="shared" si="35"/>
        <v>0</v>
      </c>
      <c r="X36" s="136"/>
      <c r="Y36" s="136"/>
      <c r="Z36" s="136"/>
      <c r="AA36" s="136">
        <v>0</v>
      </c>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row>
    <row r="37" spans="1:49" ht="64.95" customHeight="1" thickBot="1" x14ac:dyDescent="0.4">
      <c r="A37" s="110"/>
      <c r="B37" s="140" t="s">
        <v>709</v>
      </c>
      <c r="C37" s="916" t="s">
        <v>1414</v>
      </c>
      <c r="D37" s="144" t="s">
        <v>683</v>
      </c>
      <c r="E37" s="134">
        <v>0.1</v>
      </c>
      <c r="F37" s="135">
        <v>4</v>
      </c>
      <c r="G37" s="130">
        <v>0.3</v>
      </c>
      <c r="H37" s="130">
        <v>0.1</v>
      </c>
      <c r="I37" s="136">
        <f>+G37/F37</f>
        <v>7.4999999999999997E-2</v>
      </c>
      <c r="J37" s="136">
        <f t="shared" si="31"/>
        <v>2.5000000000000001E-2</v>
      </c>
      <c r="K37" s="136">
        <f>+(G37/F37)*E37</f>
        <v>7.4999999999999997E-3</v>
      </c>
      <c r="L37" s="136">
        <f t="shared" si="32"/>
        <v>2.5000000000000005E-3</v>
      </c>
      <c r="M37" s="130">
        <v>0.3</v>
      </c>
      <c r="N37" s="542">
        <v>0.1</v>
      </c>
      <c r="O37" s="542">
        <v>0.6</v>
      </c>
      <c r="P37" s="542">
        <v>0.2</v>
      </c>
      <c r="Q37" s="130"/>
      <c r="R37" s="130">
        <f t="shared" si="33"/>
        <v>0.89999999999999991</v>
      </c>
      <c r="S37" s="130">
        <f t="shared" si="34"/>
        <v>1.2</v>
      </c>
      <c r="T37" s="136">
        <f>+(M37/G37)</f>
        <v>1</v>
      </c>
      <c r="U37" s="136">
        <v>1</v>
      </c>
      <c r="V37" s="136">
        <f>+T37*E37</f>
        <v>0.1</v>
      </c>
      <c r="W37" s="136">
        <f t="shared" si="35"/>
        <v>0.1</v>
      </c>
      <c r="X37" s="136">
        <f>+M37/F37</f>
        <v>7.4999999999999997E-2</v>
      </c>
      <c r="Y37" s="136">
        <f>+S37/F37</f>
        <v>0.3</v>
      </c>
      <c r="Z37" s="136">
        <f>+X37*E37</f>
        <v>7.4999999999999997E-3</v>
      </c>
      <c r="AA37" s="136">
        <f>+Y37*E37</f>
        <v>0.03</v>
      </c>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row>
    <row r="38" spans="1:49" ht="78.599999999999994" customHeight="1" thickBot="1" x14ac:dyDescent="0.4">
      <c r="A38" s="110"/>
      <c r="B38" s="140" t="s">
        <v>710</v>
      </c>
      <c r="C38" s="916" t="s">
        <v>1415</v>
      </c>
      <c r="D38" s="144" t="s">
        <v>683</v>
      </c>
      <c r="E38" s="134">
        <v>0.1</v>
      </c>
      <c r="F38" s="135">
        <v>3</v>
      </c>
      <c r="G38" s="130">
        <v>0.25</v>
      </c>
      <c r="H38" s="130">
        <v>0.25</v>
      </c>
      <c r="I38" s="136">
        <f>+G38/F38</f>
        <v>8.3333333333333329E-2</v>
      </c>
      <c r="J38" s="136">
        <f t="shared" si="31"/>
        <v>8.3333333333333329E-2</v>
      </c>
      <c r="K38" s="136">
        <f>+(G38/F38)*E38</f>
        <v>8.3333333333333332E-3</v>
      </c>
      <c r="L38" s="136">
        <f t="shared" si="32"/>
        <v>8.3333333333333332E-3</v>
      </c>
      <c r="M38" s="130">
        <v>0</v>
      </c>
      <c r="N38" s="542">
        <v>0</v>
      </c>
      <c r="O38" s="542">
        <v>0</v>
      </c>
      <c r="P38" s="542">
        <v>0.01</v>
      </c>
      <c r="Q38" s="130"/>
      <c r="R38" s="130">
        <f t="shared" si="33"/>
        <v>0.01</v>
      </c>
      <c r="S38" s="130">
        <f t="shared" si="34"/>
        <v>0.01</v>
      </c>
      <c r="T38" s="136">
        <f>+(M38/G38)</f>
        <v>0</v>
      </c>
      <c r="U38" s="136">
        <f t="shared" ref="U38:U39" si="36">+R38/H38</f>
        <v>0.04</v>
      </c>
      <c r="V38" s="136">
        <f>+T38*E38</f>
        <v>0</v>
      </c>
      <c r="W38" s="136">
        <f t="shared" si="35"/>
        <v>4.0000000000000001E-3</v>
      </c>
      <c r="X38" s="136">
        <f>+M38/F38</f>
        <v>0</v>
      </c>
      <c r="Y38" s="152">
        <f t="shared" ref="Y38:Y39" si="37">+S38/F38</f>
        <v>3.3333333333333335E-3</v>
      </c>
      <c r="Z38" s="136">
        <f>+X38*E38</f>
        <v>0</v>
      </c>
      <c r="AA38" s="136">
        <f>+Y38*E38</f>
        <v>3.3333333333333338E-4</v>
      </c>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row>
    <row r="39" spans="1:49" ht="64.2" customHeight="1" thickBot="1" x14ac:dyDescent="0.4">
      <c r="A39" s="110"/>
      <c r="B39" s="140" t="s">
        <v>711</v>
      </c>
      <c r="C39" s="916" t="s">
        <v>1416</v>
      </c>
      <c r="D39" s="144" t="s">
        <v>683</v>
      </c>
      <c r="E39" s="134">
        <v>0.35</v>
      </c>
      <c r="F39" s="135">
        <v>10000</v>
      </c>
      <c r="G39" s="130">
        <v>1000</v>
      </c>
      <c r="H39" s="130">
        <v>3000</v>
      </c>
      <c r="I39" s="136">
        <f>+G39/F39</f>
        <v>0.1</v>
      </c>
      <c r="J39" s="136">
        <f t="shared" si="31"/>
        <v>0.3</v>
      </c>
      <c r="K39" s="136">
        <f>+(G39/F39)*E39</f>
        <v>3.4999999999999996E-2</v>
      </c>
      <c r="L39" s="136">
        <f t="shared" si="32"/>
        <v>0.105</v>
      </c>
      <c r="M39" s="130">
        <v>2411</v>
      </c>
      <c r="N39" s="542">
        <v>0</v>
      </c>
      <c r="O39" s="542">
        <v>0</v>
      </c>
      <c r="P39" s="542">
        <v>1336</v>
      </c>
      <c r="Q39" s="130"/>
      <c r="R39" s="130">
        <f t="shared" si="33"/>
        <v>1336</v>
      </c>
      <c r="S39" s="130">
        <f t="shared" si="34"/>
        <v>3747</v>
      </c>
      <c r="T39" s="136">
        <v>1</v>
      </c>
      <c r="U39" s="136">
        <f t="shared" si="36"/>
        <v>0.44533333333333336</v>
      </c>
      <c r="V39" s="136">
        <f>+T39*E39</f>
        <v>0.35</v>
      </c>
      <c r="W39" s="136">
        <f t="shared" si="35"/>
        <v>0.15586666666666665</v>
      </c>
      <c r="X39" s="136">
        <f>+M39/F39</f>
        <v>0.24110000000000001</v>
      </c>
      <c r="Y39" s="136">
        <f t="shared" si="37"/>
        <v>0.37469999999999998</v>
      </c>
      <c r="Z39" s="136">
        <f>+X39*E39</f>
        <v>8.4385000000000002E-2</v>
      </c>
      <c r="AA39" s="136">
        <f>+Y39*E39</f>
        <v>0.13114499999999998</v>
      </c>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row>
    <row r="40" spans="1:49" ht="68.400000000000006" customHeight="1" thickBot="1" x14ac:dyDescent="0.4">
      <c r="A40" s="110"/>
      <c r="B40" s="970" t="s">
        <v>1636</v>
      </c>
      <c r="C40" s="971"/>
      <c r="D40" s="144"/>
      <c r="E40" s="126">
        <v>0.25</v>
      </c>
      <c r="F40" s="135"/>
      <c r="G40" s="130"/>
      <c r="H40" s="130"/>
      <c r="I40" s="129">
        <f>+AVERAGE(I41:I42)</f>
        <v>0.58499999999999996</v>
      </c>
      <c r="J40" s="129">
        <f>+AVERAGE(J41:J42)</f>
        <v>0.23500000000000001</v>
      </c>
      <c r="K40" s="129">
        <f>+K41+K42</f>
        <v>0.29249999999999998</v>
      </c>
      <c r="L40" s="129">
        <f>+L41+L42</f>
        <v>0.23500000000000001</v>
      </c>
      <c r="M40" s="128"/>
      <c r="N40" s="128"/>
      <c r="O40" s="128"/>
      <c r="P40" s="128"/>
      <c r="Q40" s="128"/>
      <c r="R40" s="128"/>
      <c r="S40" s="128"/>
      <c r="T40" s="150">
        <f>+AVERAGE(T41:T43)</f>
        <v>1</v>
      </c>
      <c r="U40" s="150">
        <f>+AVERAGE(U41:U42)</f>
        <v>1</v>
      </c>
      <c r="V40" s="150">
        <f>+(V41+V42)*E40</f>
        <v>0.125</v>
      </c>
      <c r="W40" s="150">
        <f>+(W41+W42)*E40</f>
        <v>0.25</v>
      </c>
      <c r="X40" s="129">
        <f>+AVERAGE(X41:X42)*0.5</f>
        <v>0.30875000000000002</v>
      </c>
      <c r="Y40" s="129">
        <f>+AVERAGE(Y41:Y42)</f>
        <v>0.54374999999999996</v>
      </c>
      <c r="Z40" s="129">
        <f>+(Z41+Z42)*E40</f>
        <v>7.7187500000000006E-2</v>
      </c>
      <c r="AA40" s="129">
        <f>+(AA41+AA42)</f>
        <v>0.54374999999999996</v>
      </c>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row>
    <row r="41" spans="1:49" ht="69.599999999999994" customHeight="1" thickBot="1" x14ac:dyDescent="0.4">
      <c r="A41" s="110"/>
      <c r="B41" s="133" t="s">
        <v>712</v>
      </c>
      <c r="C41" s="142" t="s">
        <v>1417</v>
      </c>
      <c r="D41" s="144" t="s">
        <v>516</v>
      </c>
      <c r="E41" s="134">
        <v>0.5</v>
      </c>
      <c r="F41" s="135">
        <v>400</v>
      </c>
      <c r="G41" s="130">
        <v>234</v>
      </c>
      <c r="H41" s="130">
        <v>55</v>
      </c>
      <c r="I41" s="136">
        <f>+G41/F41</f>
        <v>0.58499999999999996</v>
      </c>
      <c r="J41" s="136">
        <f t="shared" ref="J41:J42" si="38">+H41/F41</f>
        <v>0.13750000000000001</v>
      </c>
      <c r="K41" s="136">
        <f>+(G41/F41)*E41</f>
        <v>0.29249999999999998</v>
      </c>
      <c r="L41" s="136">
        <f t="shared" ref="L41:L42" si="39">+(H41/F41)*E41</f>
        <v>6.8750000000000006E-2</v>
      </c>
      <c r="M41" s="130">
        <v>247</v>
      </c>
      <c r="N41" s="542">
        <v>55</v>
      </c>
      <c r="O41" s="542">
        <v>0</v>
      </c>
      <c r="P41" s="542">
        <v>0</v>
      </c>
      <c r="Q41" s="130"/>
      <c r="R41" s="130">
        <f t="shared" ref="R41:R42" si="40">+N41+O41+P41+Q41</f>
        <v>55</v>
      </c>
      <c r="S41" s="130">
        <f t="shared" ref="S41:S42" si="41">+R41+M41</f>
        <v>302</v>
      </c>
      <c r="T41" s="136">
        <v>1</v>
      </c>
      <c r="U41" s="136">
        <f t="shared" ref="U41:U42" si="42">+R41/H41</f>
        <v>1</v>
      </c>
      <c r="V41" s="136">
        <f>+T41*E41</f>
        <v>0.5</v>
      </c>
      <c r="W41" s="136">
        <f t="shared" ref="W41:W44" si="43">+U41*E41</f>
        <v>0.5</v>
      </c>
      <c r="X41" s="136">
        <f>+M41/F41</f>
        <v>0.61750000000000005</v>
      </c>
      <c r="Y41" s="136">
        <f t="shared" ref="Y41:Y42" si="44">+S41/F41</f>
        <v>0.755</v>
      </c>
      <c r="Z41" s="136">
        <f>+X41*E41</f>
        <v>0.30875000000000002</v>
      </c>
      <c r="AA41" s="136">
        <f>+Y41*E41</f>
        <v>0.3775</v>
      </c>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row>
    <row r="42" spans="1:49" ht="154.94999999999999" customHeight="1" thickBot="1" x14ac:dyDescent="0.4">
      <c r="A42" s="110"/>
      <c r="B42" s="133" t="s">
        <v>713</v>
      </c>
      <c r="C42" s="142" t="s">
        <v>1418</v>
      </c>
      <c r="D42" s="144" t="s">
        <v>516</v>
      </c>
      <c r="E42" s="134">
        <v>0.5</v>
      </c>
      <c r="F42" s="135">
        <v>400</v>
      </c>
      <c r="G42" s="130">
        <v>0</v>
      </c>
      <c r="H42" s="130">
        <v>133</v>
      </c>
      <c r="I42" s="136"/>
      <c r="J42" s="136">
        <f t="shared" si="38"/>
        <v>0.33250000000000002</v>
      </c>
      <c r="K42" s="136"/>
      <c r="L42" s="136">
        <f t="shared" si="39"/>
        <v>0.16625000000000001</v>
      </c>
      <c r="M42" s="130"/>
      <c r="N42" s="542">
        <v>0</v>
      </c>
      <c r="O42" s="542">
        <v>89</v>
      </c>
      <c r="P42" s="542">
        <v>44</v>
      </c>
      <c r="Q42" s="130"/>
      <c r="R42" s="130">
        <f t="shared" si="40"/>
        <v>133</v>
      </c>
      <c r="S42" s="130">
        <f t="shared" si="41"/>
        <v>133</v>
      </c>
      <c r="T42" s="136"/>
      <c r="U42" s="136">
        <f t="shared" si="42"/>
        <v>1</v>
      </c>
      <c r="V42" s="136"/>
      <c r="W42" s="136">
        <f t="shared" si="43"/>
        <v>0.5</v>
      </c>
      <c r="X42" s="136"/>
      <c r="Y42" s="136">
        <f t="shared" si="44"/>
        <v>0.33250000000000002</v>
      </c>
      <c r="Z42" s="136"/>
      <c r="AA42" s="136">
        <f>+Y42*E42</f>
        <v>0.16625000000000001</v>
      </c>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row>
    <row r="43" spans="1:49" ht="72" customHeight="1" thickBot="1" x14ac:dyDescent="0.4">
      <c r="A43" s="110"/>
      <c r="B43" s="970" t="s">
        <v>1637</v>
      </c>
      <c r="C43" s="971"/>
      <c r="D43" s="144"/>
      <c r="E43" s="126">
        <v>0.25</v>
      </c>
      <c r="F43" s="135"/>
      <c r="G43" s="130"/>
      <c r="H43" s="130"/>
      <c r="I43" s="129">
        <f>+AVERAGE(I44)</f>
        <v>0.42307692307692307</v>
      </c>
      <c r="J43" s="129">
        <f>+AVERAGE(J44)</f>
        <v>0.15384615384615385</v>
      </c>
      <c r="K43" s="129">
        <f>+K44</f>
        <v>0.42307692307692307</v>
      </c>
      <c r="L43" s="129">
        <f>+L44</f>
        <v>0.15384615384615385</v>
      </c>
      <c r="M43" s="128"/>
      <c r="N43" s="128"/>
      <c r="O43" s="128"/>
      <c r="P43" s="128"/>
      <c r="Q43" s="128"/>
      <c r="R43" s="128"/>
      <c r="S43" s="128"/>
      <c r="T43" s="150">
        <f>+AVERAGE(T44)</f>
        <v>1</v>
      </c>
      <c r="U43" s="150">
        <f>+AVERAGE(U44)</f>
        <v>0.47499999999999998</v>
      </c>
      <c r="V43" s="150">
        <f>+(V44)*E43</f>
        <v>0.25</v>
      </c>
      <c r="W43" s="150">
        <f>+(W44)*F43</f>
        <v>0</v>
      </c>
      <c r="X43" s="129">
        <f>+AVERAGE(X44)</f>
        <v>0.44538461538461538</v>
      </c>
      <c r="Y43" s="129">
        <f>+AVERAGE(Y44)</f>
        <v>0.51846153846153842</v>
      </c>
      <c r="Z43" s="129">
        <f>+(Z44)*E43</f>
        <v>0.11134615384615384</v>
      </c>
      <c r="AA43" s="129">
        <f>+(AA44)</f>
        <v>0.51846153846153842</v>
      </c>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row>
    <row r="44" spans="1:49" ht="82.2" customHeight="1" thickBot="1" x14ac:dyDescent="0.4">
      <c r="A44" s="110"/>
      <c r="B44" s="133" t="s">
        <v>714</v>
      </c>
      <c r="C44" s="142" t="s">
        <v>1419</v>
      </c>
      <c r="D44" s="144" t="s">
        <v>58</v>
      </c>
      <c r="E44" s="134">
        <v>1</v>
      </c>
      <c r="F44" s="135">
        <v>1300</v>
      </c>
      <c r="G44" s="130">
        <v>550</v>
      </c>
      <c r="H44" s="130">
        <v>200</v>
      </c>
      <c r="I44" s="136">
        <f>+G44/F44</f>
        <v>0.42307692307692307</v>
      </c>
      <c r="J44" s="136">
        <f>+H44/F44</f>
        <v>0.15384615384615385</v>
      </c>
      <c r="K44" s="136">
        <f>+(G44/F44)*E44</f>
        <v>0.42307692307692307</v>
      </c>
      <c r="L44" s="136">
        <f t="shared" ref="L44" si="45">+(H44/F44)*E44</f>
        <v>0.15384615384615385</v>
      </c>
      <c r="M44" s="130">
        <v>579</v>
      </c>
      <c r="N44" s="542">
        <v>0</v>
      </c>
      <c r="O44" s="130">
        <v>40</v>
      </c>
      <c r="P44" s="130">
        <v>55</v>
      </c>
      <c r="Q44" s="130"/>
      <c r="R44" s="130">
        <f t="shared" ref="R44" si="46">+N44+O44+P44+Q44</f>
        <v>95</v>
      </c>
      <c r="S44" s="130">
        <f t="shared" ref="S44" si="47">+R44+M44</f>
        <v>674</v>
      </c>
      <c r="T44" s="136">
        <v>1</v>
      </c>
      <c r="U44" s="136">
        <f t="shared" ref="U44" si="48">+R44/H44</f>
        <v>0.47499999999999998</v>
      </c>
      <c r="V44" s="136">
        <f>+T44*E44</f>
        <v>1</v>
      </c>
      <c r="W44" s="136">
        <f t="shared" si="43"/>
        <v>0.47499999999999998</v>
      </c>
      <c r="X44" s="136">
        <f>+M44/F44</f>
        <v>0.44538461538461538</v>
      </c>
      <c r="Y44" s="136">
        <f t="shared" ref="Y44" si="49">+S44/F44</f>
        <v>0.51846153846153842</v>
      </c>
      <c r="Z44" s="136">
        <f>+X44*E44</f>
        <v>0.44538461538461538</v>
      </c>
      <c r="AA44" s="136">
        <f>+Y44*E44</f>
        <v>0.51846153846153842</v>
      </c>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row>
    <row r="45" spans="1:49" ht="189" customHeight="1" thickBot="1" x14ac:dyDescent="0.4">
      <c r="A45" s="110"/>
      <c r="B45" s="976" t="s">
        <v>1721</v>
      </c>
      <c r="C45" s="971"/>
      <c r="D45" s="144"/>
      <c r="E45" s="118">
        <v>0.2</v>
      </c>
      <c r="F45" s="119">
        <f>+E45*V45</f>
        <v>8.5500000000000007E-2</v>
      </c>
      <c r="G45" s="123"/>
      <c r="H45" s="119">
        <f>+E45*W45</f>
        <v>0.11030929487179489</v>
      </c>
      <c r="I45" s="121">
        <f>+(I46+I54+I59+I64)/3</f>
        <v>0.15416666666666667</v>
      </c>
      <c r="J45" s="121">
        <f>+(J46+J54+J59+J64)/4</f>
        <v>0.28135416666666668</v>
      </c>
      <c r="K45" s="122">
        <f>+(K46+K54+K59+K64)/4</f>
        <v>5.2656250000000002E-2</v>
      </c>
      <c r="L45" s="122">
        <f>+(L46+L54+L59+L64)/4</f>
        <v>0.28637500000000005</v>
      </c>
      <c r="M45" s="123"/>
      <c r="N45" s="123"/>
      <c r="O45" s="123"/>
      <c r="P45" s="123"/>
      <c r="Q45" s="123"/>
      <c r="R45" s="123"/>
      <c r="S45" s="123"/>
      <c r="T45" s="121">
        <f>+(T46+T54+T59+T64)/3</f>
        <v>1</v>
      </c>
      <c r="U45" s="121">
        <f>+(U46+U54+U59+U64)/4</f>
        <v>0.4605448717948718</v>
      </c>
      <c r="V45" s="122">
        <f>V46+V54+V59+V64</f>
        <v>0.42749999999999999</v>
      </c>
      <c r="W45" s="122">
        <f>W46+W54+W59+W64</f>
        <v>0.55154647435897441</v>
      </c>
      <c r="X45" s="121">
        <f>(X46+X54+X59+X64)/3</f>
        <v>0.17056250000000003</v>
      </c>
      <c r="Y45" s="121">
        <f>+X45+((Y46-X46)/4)+((Y54-X54)/4)+((Y59-X59)/4)+((Y64-X64)/4)</f>
        <v>0.29921875000000003</v>
      </c>
      <c r="Z45" s="122">
        <f>Z46+Z54+Z59+Z64</f>
        <v>0.11891499999999999</v>
      </c>
      <c r="AA45" s="122">
        <f>(AA46*E46)+(AA54*E54)+(AA59*E59)+(AA64*E64)</f>
        <v>0.32443500000000003</v>
      </c>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row>
    <row r="46" spans="1:49" ht="149.4" customHeight="1" thickBot="1" x14ac:dyDescent="0.4">
      <c r="A46" s="110"/>
      <c r="B46" s="970" t="s">
        <v>1638</v>
      </c>
      <c r="C46" s="971"/>
      <c r="D46" s="144"/>
      <c r="E46" s="126">
        <v>0.25</v>
      </c>
      <c r="F46" s="146"/>
      <c r="G46" s="123"/>
      <c r="H46" s="123"/>
      <c r="I46" s="129">
        <f>+AVERAGE(I47:I53)</f>
        <v>0.21249999999999999</v>
      </c>
      <c r="J46" s="129">
        <f>+AVERAGE(J47:J53)</f>
        <v>0.32916666666666666</v>
      </c>
      <c r="K46" s="129">
        <f>+K47+K48+K49+K50+K51+K52+K53</f>
        <v>7.8125E-2</v>
      </c>
      <c r="L46" s="129">
        <f>+L47+L48+L49+L50+L51+L52+L53</f>
        <v>0.27500000000000002</v>
      </c>
      <c r="M46" s="128"/>
      <c r="N46" s="128"/>
      <c r="O46" s="128"/>
      <c r="P46" s="128"/>
      <c r="Q46" s="128"/>
      <c r="R46" s="128"/>
      <c r="S46" s="128"/>
      <c r="T46" s="150">
        <f>+AVERAGE(T47:T53)</f>
        <v>1</v>
      </c>
      <c r="U46" s="150">
        <f>+AVERAGE(U47:U53)</f>
        <v>0.6958333333333333</v>
      </c>
      <c r="V46" s="150">
        <f>+(V47+V48+V49+V50+V51+V52+V53)*E46</f>
        <v>8.7499999999999994E-2</v>
      </c>
      <c r="W46" s="150">
        <f>+(W47+W48+W49+W50+W51+W52+W53)*E46</f>
        <v>0.18718750000000001</v>
      </c>
      <c r="X46" s="129">
        <f>+AVERAGE(X47:X53)</f>
        <v>0.16250000000000001</v>
      </c>
      <c r="Y46" s="129">
        <f>+AVERAGE(Y47:Y53)</f>
        <v>0.34566666666666662</v>
      </c>
      <c r="Z46" s="129">
        <f>+(Z47+Z48+Z49+Z50+Z51+Z52+Z53)*E46</f>
        <v>1.6406250000000001E-2</v>
      </c>
      <c r="AA46" s="129">
        <f>+(AA47+AA48+AA49+AA50+AA51+AA52+AA53)</f>
        <v>0.31137500000000001</v>
      </c>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row>
    <row r="47" spans="1:49" ht="72" customHeight="1" thickBot="1" x14ac:dyDescent="0.4">
      <c r="A47" s="110"/>
      <c r="B47" s="800" t="s">
        <v>715</v>
      </c>
      <c r="C47" s="802" t="s">
        <v>1420</v>
      </c>
      <c r="D47" s="148" t="s">
        <v>683</v>
      </c>
      <c r="E47" s="149">
        <v>0.05</v>
      </c>
      <c r="F47" s="135">
        <v>4</v>
      </c>
      <c r="G47" s="130">
        <v>1</v>
      </c>
      <c r="H47" s="130">
        <v>2</v>
      </c>
      <c r="I47" s="136">
        <f>+G47/F47</f>
        <v>0.25</v>
      </c>
      <c r="J47" s="136">
        <f t="shared" ref="J47:J66" si="50">+H47/F47</f>
        <v>0.5</v>
      </c>
      <c r="K47" s="136">
        <f>+(G47/F47)*E47</f>
        <v>1.2500000000000001E-2</v>
      </c>
      <c r="L47" s="136">
        <f t="shared" ref="L47:L66" si="51">+(H47/F47)*E47</f>
        <v>2.5000000000000001E-2</v>
      </c>
      <c r="M47" s="130">
        <v>0</v>
      </c>
      <c r="N47" s="542">
        <v>0</v>
      </c>
      <c r="O47" s="542">
        <v>0</v>
      </c>
      <c r="P47" s="542">
        <v>0.25</v>
      </c>
      <c r="Q47" s="130"/>
      <c r="R47" s="130">
        <f t="shared" ref="R47:R53" si="52">+N47+O47+P47+Q47</f>
        <v>0.25</v>
      </c>
      <c r="S47" s="130">
        <f t="shared" ref="S47:S53" si="53">+R47+M47</f>
        <v>0.25</v>
      </c>
      <c r="T47" s="136">
        <v>1</v>
      </c>
      <c r="U47" s="136">
        <f t="shared" ref="U47:U52" si="54">+R47/H47</f>
        <v>0.125</v>
      </c>
      <c r="V47" s="136">
        <f>+T47*E47</f>
        <v>0.05</v>
      </c>
      <c r="W47" s="136">
        <f t="shared" ref="W47:W52" si="55">+U47*E47</f>
        <v>6.2500000000000003E-3</v>
      </c>
      <c r="X47" s="136">
        <f>+M47/F47</f>
        <v>0</v>
      </c>
      <c r="Y47" s="136">
        <f t="shared" ref="Y47:Y63" si="56">+S47/F47</f>
        <v>6.25E-2</v>
      </c>
      <c r="Z47" s="136">
        <f t="shared" ref="Z47:Z52" si="57">+X47*E47</f>
        <v>0</v>
      </c>
      <c r="AA47" s="136">
        <f>+Y47*E47</f>
        <v>3.1250000000000002E-3</v>
      </c>
      <c r="AB47" s="117"/>
      <c r="AC47" s="106"/>
      <c r="AD47" s="106"/>
      <c r="AE47" s="106"/>
      <c r="AF47" s="106"/>
      <c r="AG47" s="106"/>
      <c r="AH47" s="106"/>
      <c r="AI47" s="106"/>
      <c r="AJ47" s="106"/>
      <c r="AK47" s="106"/>
      <c r="AL47" s="106"/>
      <c r="AM47" s="106"/>
      <c r="AN47" s="106"/>
      <c r="AO47" s="106"/>
      <c r="AP47" s="106"/>
      <c r="AQ47" s="106"/>
      <c r="AR47" s="106"/>
      <c r="AS47" s="106"/>
      <c r="AT47" s="106"/>
      <c r="AU47" s="106"/>
      <c r="AV47" s="106"/>
      <c r="AW47" s="106"/>
    </row>
    <row r="48" spans="1:49" ht="52.2" customHeight="1" thickBot="1" x14ac:dyDescent="0.4">
      <c r="A48" s="110"/>
      <c r="B48" s="133" t="s">
        <v>716</v>
      </c>
      <c r="C48" s="142" t="s">
        <v>1421</v>
      </c>
      <c r="D48" s="144" t="s">
        <v>683</v>
      </c>
      <c r="E48" s="134">
        <v>0.1</v>
      </c>
      <c r="F48" s="135">
        <v>4</v>
      </c>
      <c r="G48" s="130">
        <v>1</v>
      </c>
      <c r="H48" s="803">
        <v>0.5</v>
      </c>
      <c r="I48" s="136">
        <f>+G48/F48</f>
        <v>0.25</v>
      </c>
      <c r="J48" s="136">
        <f t="shared" si="50"/>
        <v>0.125</v>
      </c>
      <c r="K48" s="136">
        <f>+(G48/F48)*E48</f>
        <v>2.5000000000000001E-2</v>
      </c>
      <c r="L48" s="136">
        <f t="shared" si="51"/>
        <v>1.2500000000000001E-2</v>
      </c>
      <c r="M48" s="130">
        <v>1</v>
      </c>
      <c r="N48" s="542">
        <v>0</v>
      </c>
      <c r="O48" s="542">
        <v>0.3</v>
      </c>
      <c r="P48" s="542">
        <v>0.1</v>
      </c>
      <c r="Q48" s="130"/>
      <c r="R48" s="130">
        <f t="shared" si="52"/>
        <v>0.4</v>
      </c>
      <c r="S48" s="130">
        <f t="shared" si="53"/>
        <v>1.4</v>
      </c>
      <c r="T48" s="152">
        <v>1</v>
      </c>
      <c r="U48" s="152">
        <f t="shared" si="54"/>
        <v>0.8</v>
      </c>
      <c r="V48" s="152">
        <f>+T48*E48</f>
        <v>0.1</v>
      </c>
      <c r="W48" s="152">
        <f t="shared" si="55"/>
        <v>8.0000000000000016E-2</v>
      </c>
      <c r="X48" s="152">
        <f>+M48/F48</f>
        <v>0.25</v>
      </c>
      <c r="Y48" s="152">
        <f t="shared" si="56"/>
        <v>0.35</v>
      </c>
      <c r="Z48" s="136">
        <f t="shared" si="57"/>
        <v>2.5000000000000001E-2</v>
      </c>
      <c r="AA48" s="136">
        <f>+Y48*E48</f>
        <v>3.4999999999999996E-2</v>
      </c>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row>
    <row r="49" spans="1:49" ht="89.4" customHeight="1" thickBot="1" x14ac:dyDescent="0.4">
      <c r="A49" s="110"/>
      <c r="B49" s="133" t="s">
        <v>717</v>
      </c>
      <c r="C49" s="142" t="s">
        <v>1422</v>
      </c>
      <c r="D49" s="144" t="s">
        <v>683</v>
      </c>
      <c r="E49" s="134">
        <v>0.1</v>
      </c>
      <c r="F49" s="135">
        <v>4</v>
      </c>
      <c r="G49" s="130">
        <v>1</v>
      </c>
      <c r="H49" s="130">
        <v>1</v>
      </c>
      <c r="I49" s="136">
        <f>+G49/F49</f>
        <v>0.25</v>
      </c>
      <c r="J49" s="136">
        <f t="shared" si="50"/>
        <v>0.25</v>
      </c>
      <c r="K49" s="136">
        <f>+(G49/F49)*E49</f>
        <v>2.5000000000000001E-2</v>
      </c>
      <c r="L49" s="136">
        <f t="shared" si="51"/>
        <v>2.5000000000000001E-2</v>
      </c>
      <c r="M49" s="130">
        <v>1</v>
      </c>
      <c r="N49" s="542">
        <v>0.2</v>
      </c>
      <c r="O49" s="542">
        <v>0.3</v>
      </c>
      <c r="P49" s="542">
        <v>0.7</v>
      </c>
      <c r="Q49" s="130"/>
      <c r="R49" s="130">
        <f t="shared" si="52"/>
        <v>1.2</v>
      </c>
      <c r="S49" s="130">
        <f t="shared" si="53"/>
        <v>2.2000000000000002</v>
      </c>
      <c r="T49" s="152">
        <v>1</v>
      </c>
      <c r="U49" s="152">
        <v>1</v>
      </c>
      <c r="V49" s="152">
        <f>+T49*E49</f>
        <v>0.1</v>
      </c>
      <c r="W49" s="152">
        <f t="shared" si="55"/>
        <v>0.1</v>
      </c>
      <c r="X49" s="152">
        <f>+M49/F49</f>
        <v>0.25</v>
      </c>
      <c r="Y49" s="152">
        <f t="shared" si="56"/>
        <v>0.55000000000000004</v>
      </c>
      <c r="Z49" s="136">
        <f t="shared" si="57"/>
        <v>2.5000000000000001E-2</v>
      </c>
      <c r="AA49" s="136">
        <f>+Y49*E49</f>
        <v>5.5000000000000007E-2</v>
      </c>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row>
    <row r="50" spans="1:49" ht="82.95" customHeight="1" thickBot="1" x14ac:dyDescent="0.4">
      <c r="A50" s="110"/>
      <c r="B50" s="133" t="s">
        <v>718</v>
      </c>
      <c r="C50" s="142" t="s">
        <v>1423</v>
      </c>
      <c r="D50" s="148" t="s">
        <v>683</v>
      </c>
      <c r="E50" s="149">
        <v>0.5</v>
      </c>
      <c r="F50" s="135">
        <v>2000</v>
      </c>
      <c r="G50" s="130">
        <v>0</v>
      </c>
      <c r="H50" s="130">
        <v>700</v>
      </c>
      <c r="I50" s="136"/>
      <c r="J50" s="136">
        <f t="shared" si="50"/>
        <v>0.35</v>
      </c>
      <c r="K50" s="136"/>
      <c r="L50" s="136">
        <f t="shared" si="51"/>
        <v>0.17499999999999999</v>
      </c>
      <c r="M50" s="130"/>
      <c r="N50" s="542">
        <v>620</v>
      </c>
      <c r="O50" s="542">
        <v>0</v>
      </c>
      <c r="P50" s="542">
        <v>103</v>
      </c>
      <c r="Q50" s="130"/>
      <c r="R50" s="130">
        <f t="shared" si="52"/>
        <v>723</v>
      </c>
      <c r="S50" s="130">
        <f t="shared" si="53"/>
        <v>723</v>
      </c>
      <c r="T50" s="152"/>
      <c r="U50" s="152">
        <v>1</v>
      </c>
      <c r="V50" s="152"/>
      <c r="W50" s="152">
        <f t="shared" si="55"/>
        <v>0.5</v>
      </c>
      <c r="X50" s="152"/>
      <c r="Y50" s="152">
        <f t="shared" si="56"/>
        <v>0.36149999999999999</v>
      </c>
      <c r="Z50" s="136">
        <f t="shared" si="57"/>
        <v>0</v>
      </c>
      <c r="AA50" s="136">
        <f t="shared" ref="AA50:AA53" si="58">+Y50*E50</f>
        <v>0.18074999999999999</v>
      </c>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row>
    <row r="51" spans="1:49" ht="98.4" customHeight="1" thickBot="1" x14ac:dyDescent="0.4">
      <c r="A51" s="110"/>
      <c r="B51" s="800" t="s">
        <v>719</v>
      </c>
      <c r="C51" s="802" t="s">
        <v>1424</v>
      </c>
      <c r="D51" s="151" t="s">
        <v>720</v>
      </c>
      <c r="E51" s="134">
        <v>0.05</v>
      </c>
      <c r="F51" s="135">
        <v>4</v>
      </c>
      <c r="G51" s="130">
        <v>1</v>
      </c>
      <c r="H51" s="130">
        <v>2</v>
      </c>
      <c r="I51" s="136">
        <f>+G51/F51</f>
        <v>0.25</v>
      </c>
      <c r="J51" s="136">
        <f t="shared" si="50"/>
        <v>0.5</v>
      </c>
      <c r="K51" s="136">
        <f>+(G51/F51)*E51</f>
        <v>1.2500000000000001E-2</v>
      </c>
      <c r="L51" s="136">
        <f t="shared" si="51"/>
        <v>2.5000000000000001E-2</v>
      </c>
      <c r="M51" s="130">
        <v>1</v>
      </c>
      <c r="N51" s="542">
        <v>0</v>
      </c>
      <c r="O51" s="542">
        <v>1</v>
      </c>
      <c r="P51" s="542"/>
      <c r="Q51" s="130"/>
      <c r="R51" s="130">
        <f t="shared" si="52"/>
        <v>1</v>
      </c>
      <c r="S51" s="130">
        <f t="shared" si="53"/>
        <v>2</v>
      </c>
      <c r="T51" s="152">
        <v>1</v>
      </c>
      <c r="U51" s="152">
        <f t="shared" si="54"/>
        <v>0.5</v>
      </c>
      <c r="V51" s="152">
        <f>+T51*E51</f>
        <v>0.05</v>
      </c>
      <c r="W51" s="152">
        <f t="shared" si="55"/>
        <v>2.5000000000000001E-2</v>
      </c>
      <c r="X51" s="152">
        <f>+M51/F51</f>
        <v>0.25</v>
      </c>
      <c r="Y51" s="152">
        <f t="shared" si="56"/>
        <v>0.5</v>
      </c>
      <c r="Z51" s="136">
        <f t="shared" si="57"/>
        <v>1.2500000000000001E-2</v>
      </c>
      <c r="AA51" s="136">
        <f t="shared" si="58"/>
        <v>2.5000000000000001E-2</v>
      </c>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row>
    <row r="52" spans="1:49" ht="112.8" customHeight="1" thickBot="1" x14ac:dyDescent="0.4">
      <c r="A52" s="110"/>
      <c r="B52" s="800" t="s">
        <v>721</v>
      </c>
      <c r="C52" s="802" t="s">
        <v>1425</v>
      </c>
      <c r="D52" s="144" t="s">
        <v>683</v>
      </c>
      <c r="E52" s="134">
        <v>0.05</v>
      </c>
      <c r="F52" s="135">
        <v>4</v>
      </c>
      <c r="G52" s="130">
        <v>0.25</v>
      </c>
      <c r="H52" s="130">
        <v>1</v>
      </c>
      <c r="I52" s="136">
        <f>+G52/F52</f>
        <v>6.25E-2</v>
      </c>
      <c r="J52" s="136">
        <f t="shared" si="50"/>
        <v>0.25</v>
      </c>
      <c r="K52" s="136">
        <f>+(G52/F52)*E52</f>
        <v>3.1250000000000002E-3</v>
      </c>
      <c r="L52" s="136">
        <f t="shared" si="51"/>
        <v>1.2500000000000001E-2</v>
      </c>
      <c r="M52" s="130">
        <v>0.25</v>
      </c>
      <c r="N52" s="542">
        <v>0.25</v>
      </c>
      <c r="O52" s="542">
        <v>0</v>
      </c>
      <c r="P52" s="542">
        <v>0.5</v>
      </c>
      <c r="Q52" s="130"/>
      <c r="R52" s="130">
        <f t="shared" si="52"/>
        <v>0.75</v>
      </c>
      <c r="S52" s="130">
        <f t="shared" si="53"/>
        <v>1</v>
      </c>
      <c r="T52" s="152">
        <f>+(M52/G52)</f>
        <v>1</v>
      </c>
      <c r="U52" s="152">
        <f t="shared" si="54"/>
        <v>0.75</v>
      </c>
      <c r="V52" s="152">
        <f>+T52*E52</f>
        <v>0.05</v>
      </c>
      <c r="W52" s="152">
        <f t="shared" si="55"/>
        <v>3.7500000000000006E-2</v>
      </c>
      <c r="X52" s="152">
        <f>+M52/F52</f>
        <v>6.25E-2</v>
      </c>
      <c r="Y52" s="152">
        <f t="shared" si="56"/>
        <v>0.25</v>
      </c>
      <c r="Z52" s="152">
        <f t="shared" si="57"/>
        <v>3.1250000000000002E-3</v>
      </c>
      <c r="AA52" s="152">
        <f t="shared" si="58"/>
        <v>1.2500000000000001E-2</v>
      </c>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row>
    <row r="53" spans="1:49" ht="73.95" customHeight="1" thickBot="1" x14ac:dyDescent="0.4">
      <c r="A53" s="110"/>
      <c r="B53" s="133" t="s">
        <v>722</v>
      </c>
      <c r="C53" s="142" t="s">
        <v>1426</v>
      </c>
      <c r="D53" s="153" t="s">
        <v>723</v>
      </c>
      <c r="E53" s="134">
        <v>0.15</v>
      </c>
      <c r="F53" s="135">
        <v>2</v>
      </c>
      <c r="G53" s="130">
        <v>0</v>
      </c>
      <c r="H53" s="130">
        <v>0</v>
      </c>
      <c r="I53" s="136"/>
      <c r="J53" s="136"/>
      <c r="K53" s="136"/>
      <c r="L53" s="136"/>
      <c r="M53" s="130"/>
      <c r="N53" s="542"/>
      <c r="O53" s="542"/>
      <c r="P53" s="542"/>
      <c r="Q53" s="130"/>
      <c r="R53" s="130">
        <f t="shared" si="52"/>
        <v>0</v>
      </c>
      <c r="S53" s="130">
        <f t="shared" si="53"/>
        <v>0</v>
      </c>
      <c r="T53" s="136"/>
      <c r="U53" s="136"/>
      <c r="V53" s="136"/>
      <c r="W53" s="136"/>
      <c r="X53" s="136"/>
      <c r="Y53" s="136"/>
      <c r="Z53" s="136"/>
      <c r="AA53" s="136">
        <f t="shared" si="58"/>
        <v>0</v>
      </c>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row>
    <row r="54" spans="1:49" ht="100.5" customHeight="1" thickBot="1" x14ac:dyDescent="0.4">
      <c r="A54" s="110"/>
      <c r="B54" s="970" t="s">
        <v>1722</v>
      </c>
      <c r="C54" s="971"/>
      <c r="D54" s="154"/>
      <c r="E54" s="126">
        <v>0.35</v>
      </c>
      <c r="F54" s="146"/>
      <c r="G54" s="130"/>
      <c r="H54" s="130"/>
      <c r="I54" s="129">
        <f>+AVERAGE(I55:I58)</f>
        <v>0.125</v>
      </c>
      <c r="J54" s="129">
        <f>+AVERAGE(J55:J58)</f>
        <v>0.34375</v>
      </c>
      <c r="K54" s="129">
        <f>+K55+K56+K57+K58</f>
        <v>6.25E-2</v>
      </c>
      <c r="L54" s="129">
        <f>+L55+L56+L57+L58</f>
        <v>0.36499999999999999</v>
      </c>
      <c r="M54" s="130"/>
      <c r="N54" s="130"/>
      <c r="O54" s="130"/>
      <c r="P54" s="130"/>
      <c r="Q54" s="130"/>
      <c r="R54" s="130"/>
      <c r="S54" s="130"/>
      <c r="T54" s="150">
        <f>+AVERAGE(T55:T58)</f>
        <v>1</v>
      </c>
      <c r="U54" s="150">
        <f>+AVERAGE(U55:U58)</f>
        <v>0.40551282051282056</v>
      </c>
      <c r="V54" s="150">
        <f>+(V55+V56+V57+V58)*E54</f>
        <v>0.17499999999999999</v>
      </c>
      <c r="W54" s="150">
        <f>+(W55+W56+W57+W58)*E54</f>
        <v>0.17885897435897435</v>
      </c>
      <c r="X54" s="129">
        <f>+AVERAGE(X55:X58)*0.25</f>
        <v>8.3687499999999998E-2</v>
      </c>
      <c r="Y54" s="129">
        <f>+AVERAGE(Y55:Y58)</f>
        <v>0.21131250000000001</v>
      </c>
      <c r="Z54" s="129">
        <f>+(Z55+Z56+Z57+Z58)*E54</f>
        <v>5.8581249999999994E-2</v>
      </c>
      <c r="AA54" s="129">
        <f>+(AA55+AA56+AA57+AA58)</f>
        <v>0.332625</v>
      </c>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row>
    <row r="55" spans="1:49" ht="70.95" customHeight="1" thickBot="1" x14ac:dyDescent="0.4">
      <c r="A55" s="147"/>
      <c r="B55" s="133" t="s">
        <v>724</v>
      </c>
      <c r="C55" s="142" t="s">
        <v>1427</v>
      </c>
      <c r="D55" s="155" t="s">
        <v>58</v>
      </c>
      <c r="E55" s="134">
        <v>0.05</v>
      </c>
      <c r="F55" s="135">
        <v>1</v>
      </c>
      <c r="G55" s="130">
        <v>0</v>
      </c>
      <c r="H55" s="130">
        <v>0.3</v>
      </c>
      <c r="I55" s="136"/>
      <c r="J55" s="136">
        <f t="shared" si="50"/>
        <v>0.3</v>
      </c>
      <c r="K55" s="136"/>
      <c r="L55" s="136">
        <f t="shared" si="51"/>
        <v>1.4999999999999999E-2</v>
      </c>
      <c r="M55" s="130"/>
      <c r="N55" s="542">
        <v>0</v>
      </c>
      <c r="O55" s="542">
        <v>0</v>
      </c>
      <c r="P55" s="542">
        <v>0.2</v>
      </c>
      <c r="Q55" s="130"/>
      <c r="R55" s="130">
        <f t="shared" ref="R55:R58" si="59">+N55+O55+P55+Q55</f>
        <v>0.2</v>
      </c>
      <c r="S55" s="130">
        <f t="shared" ref="S55:S58" si="60">+R55+M55</f>
        <v>0.2</v>
      </c>
      <c r="T55" s="152"/>
      <c r="U55" s="152">
        <f t="shared" ref="U55:U58" si="61">+R55/H55</f>
        <v>0.66666666666666674</v>
      </c>
      <c r="V55" s="152"/>
      <c r="W55" s="152">
        <f t="shared" ref="W55:W58" si="62">+U55*E55</f>
        <v>3.333333333333334E-2</v>
      </c>
      <c r="X55" s="152"/>
      <c r="Y55" s="152">
        <f t="shared" si="56"/>
        <v>0.2</v>
      </c>
      <c r="Z55" s="136"/>
      <c r="AA55" s="136">
        <f t="shared" ref="AA55:AA58" si="63">+Y55*E55</f>
        <v>1.0000000000000002E-2</v>
      </c>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row>
    <row r="56" spans="1:49" ht="58.2" customHeight="1" thickBot="1" x14ac:dyDescent="0.4">
      <c r="A56" s="147"/>
      <c r="B56" s="133" t="s">
        <v>725</v>
      </c>
      <c r="C56" s="142" t="s">
        <v>1428</v>
      </c>
      <c r="D56" s="156" t="s">
        <v>58</v>
      </c>
      <c r="E56" s="134">
        <v>0.5</v>
      </c>
      <c r="F56" s="135">
        <v>4000</v>
      </c>
      <c r="G56" s="130">
        <v>500</v>
      </c>
      <c r="H56" s="130">
        <v>1300</v>
      </c>
      <c r="I56" s="136">
        <f>+G56/F56</f>
        <v>0.125</v>
      </c>
      <c r="J56" s="136">
        <f t="shared" si="50"/>
        <v>0.32500000000000001</v>
      </c>
      <c r="K56" s="136">
        <f>+(G56/F56)*E56</f>
        <v>6.25E-2</v>
      </c>
      <c r="L56" s="136">
        <f t="shared" si="51"/>
        <v>0.16250000000000001</v>
      </c>
      <c r="M56" s="130">
        <v>1339</v>
      </c>
      <c r="N56" s="542">
        <v>55</v>
      </c>
      <c r="O56" s="542">
        <v>395</v>
      </c>
      <c r="P56" s="542">
        <v>792</v>
      </c>
      <c r="Q56" s="130"/>
      <c r="R56" s="130">
        <f t="shared" si="59"/>
        <v>1242</v>
      </c>
      <c r="S56" s="130">
        <f t="shared" si="60"/>
        <v>2581</v>
      </c>
      <c r="T56" s="152">
        <v>1</v>
      </c>
      <c r="U56" s="152">
        <f t="shared" si="61"/>
        <v>0.95538461538461539</v>
      </c>
      <c r="V56" s="152">
        <f>+T56*E56</f>
        <v>0.5</v>
      </c>
      <c r="W56" s="152">
        <f>+U56*E56</f>
        <v>0.47769230769230769</v>
      </c>
      <c r="X56" s="152">
        <f>+M56/F56</f>
        <v>0.33474999999999999</v>
      </c>
      <c r="Y56" s="152">
        <f>+S56/F56</f>
        <v>0.64524999999999999</v>
      </c>
      <c r="Z56" s="136">
        <f>+X56*E56</f>
        <v>0.167375</v>
      </c>
      <c r="AA56" s="136">
        <f t="shared" si="63"/>
        <v>0.322625</v>
      </c>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row>
    <row r="57" spans="1:49" ht="76.2" customHeight="1" thickBot="1" x14ac:dyDescent="0.4">
      <c r="A57" s="147"/>
      <c r="B57" s="133" t="s">
        <v>726</v>
      </c>
      <c r="C57" s="142" t="s">
        <v>1429</v>
      </c>
      <c r="D57" s="156" t="s">
        <v>58</v>
      </c>
      <c r="E57" s="134">
        <v>0.15</v>
      </c>
      <c r="F57" s="135">
        <v>4</v>
      </c>
      <c r="G57" s="130">
        <v>0</v>
      </c>
      <c r="H57" s="130">
        <v>1</v>
      </c>
      <c r="I57" s="136"/>
      <c r="J57" s="136">
        <f t="shared" si="50"/>
        <v>0.25</v>
      </c>
      <c r="K57" s="136"/>
      <c r="L57" s="136">
        <f t="shared" si="51"/>
        <v>3.7499999999999999E-2</v>
      </c>
      <c r="M57" s="130"/>
      <c r="N57" s="542">
        <v>0</v>
      </c>
      <c r="O57" s="542">
        <v>0</v>
      </c>
      <c r="P57" s="542">
        <v>0</v>
      </c>
      <c r="Q57" s="130"/>
      <c r="R57" s="130">
        <f t="shared" si="59"/>
        <v>0</v>
      </c>
      <c r="S57" s="130">
        <f t="shared" si="60"/>
        <v>0</v>
      </c>
      <c r="T57" s="152"/>
      <c r="U57" s="152">
        <f t="shared" si="61"/>
        <v>0</v>
      </c>
      <c r="V57" s="152"/>
      <c r="W57" s="152">
        <f t="shared" si="62"/>
        <v>0</v>
      </c>
      <c r="X57" s="152"/>
      <c r="Y57" s="152">
        <f t="shared" si="56"/>
        <v>0</v>
      </c>
      <c r="Z57" s="136"/>
      <c r="AA57" s="136">
        <f t="shared" si="63"/>
        <v>0</v>
      </c>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row>
    <row r="58" spans="1:49" ht="66" customHeight="1" thickBot="1" x14ac:dyDescent="0.4">
      <c r="A58" s="147"/>
      <c r="B58" s="133" t="s">
        <v>727</v>
      </c>
      <c r="C58" s="142" t="s">
        <v>1430</v>
      </c>
      <c r="D58" s="156" t="s">
        <v>58</v>
      </c>
      <c r="E58" s="134">
        <v>0.3</v>
      </c>
      <c r="F58" s="135">
        <v>100</v>
      </c>
      <c r="G58" s="130">
        <v>0</v>
      </c>
      <c r="H58" s="130">
        <v>50</v>
      </c>
      <c r="I58" s="136"/>
      <c r="J58" s="136">
        <f t="shared" si="50"/>
        <v>0.5</v>
      </c>
      <c r="K58" s="136"/>
      <c r="L58" s="136">
        <f t="shared" si="51"/>
        <v>0.15</v>
      </c>
      <c r="M58" s="130"/>
      <c r="N58" s="542">
        <v>0</v>
      </c>
      <c r="O58" s="542">
        <v>0</v>
      </c>
      <c r="P58" s="542">
        <v>0</v>
      </c>
      <c r="Q58" s="130"/>
      <c r="R58" s="130">
        <f t="shared" si="59"/>
        <v>0</v>
      </c>
      <c r="S58" s="130">
        <f t="shared" si="60"/>
        <v>0</v>
      </c>
      <c r="T58" s="152"/>
      <c r="U58" s="152">
        <f t="shared" si="61"/>
        <v>0</v>
      </c>
      <c r="V58" s="152"/>
      <c r="W58" s="152">
        <f t="shared" si="62"/>
        <v>0</v>
      </c>
      <c r="X58" s="152"/>
      <c r="Y58" s="152">
        <f t="shared" si="56"/>
        <v>0</v>
      </c>
      <c r="Z58" s="136"/>
      <c r="AA58" s="136">
        <f t="shared" si="63"/>
        <v>0</v>
      </c>
      <c r="AB58" s="117"/>
      <c r="AC58" s="106"/>
      <c r="AD58" s="106"/>
      <c r="AE58" s="106"/>
      <c r="AF58" s="106"/>
      <c r="AG58" s="106"/>
      <c r="AH58" s="106"/>
      <c r="AI58" s="106"/>
      <c r="AJ58" s="106"/>
      <c r="AK58" s="106"/>
      <c r="AL58" s="106"/>
      <c r="AM58" s="106"/>
      <c r="AN58" s="106"/>
      <c r="AO58" s="106"/>
      <c r="AP58" s="106"/>
      <c r="AQ58" s="106"/>
      <c r="AR58" s="106"/>
      <c r="AS58" s="106"/>
      <c r="AT58" s="106"/>
      <c r="AU58" s="106"/>
      <c r="AV58" s="106"/>
      <c r="AW58" s="106"/>
    </row>
    <row r="59" spans="1:49" ht="42.75" customHeight="1" thickBot="1" x14ac:dyDescent="0.4">
      <c r="A59" s="147"/>
      <c r="B59" s="970" t="s">
        <v>1640</v>
      </c>
      <c r="C59" s="971"/>
      <c r="D59" s="156"/>
      <c r="E59" s="126">
        <v>0.3</v>
      </c>
      <c r="F59" s="146"/>
      <c r="G59" s="130"/>
      <c r="H59" s="130"/>
      <c r="I59" s="129">
        <f>+AVERAGE(I60:I63)</f>
        <v>0.125</v>
      </c>
      <c r="J59" s="129">
        <f>+AVERAGE(J60:J63)</f>
        <v>0.45250000000000001</v>
      </c>
      <c r="K59" s="129">
        <f>+K60+K61+K62+K63</f>
        <v>7.0000000000000007E-2</v>
      </c>
      <c r="L59" s="129">
        <f>+L60+L61+L62+L63</f>
        <v>0.50550000000000006</v>
      </c>
      <c r="M59" s="130"/>
      <c r="N59" s="130"/>
      <c r="O59" s="130"/>
      <c r="P59" s="130"/>
      <c r="Q59" s="130"/>
      <c r="R59" s="130"/>
      <c r="S59" s="130"/>
      <c r="T59" s="150">
        <f>+AVERAGE(T60:T63)</f>
        <v>1</v>
      </c>
      <c r="U59" s="150">
        <f>+AVERAGE(U60:U63)</f>
        <v>0.74083333333333334</v>
      </c>
      <c r="V59" s="150">
        <f>+(V60+V61+V62+V63)*E59</f>
        <v>0.16500000000000001</v>
      </c>
      <c r="W59" s="150">
        <f>+(W60+W61+W62+W63)*E59</f>
        <v>0.18550000000000003</v>
      </c>
      <c r="X59" s="129">
        <f>+AVERAGE(X60:X63)</f>
        <v>0.26550000000000001</v>
      </c>
      <c r="Y59" s="129">
        <f>+AVERAGE(Y60:Y63)</f>
        <v>0.46933333333333338</v>
      </c>
      <c r="Z59" s="129">
        <f>+(Z60+Z61+Z62+Z63)*E59</f>
        <v>4.3927500000000001E-2</v>
      </c>
      <c r="AA59" s="129">
        <f>+(AA60+AA61+AA62+AA63)</f>
        <v>0.43390833333333334</v>
      </c>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row>
    <row r="60" spans="1:49" ht="85.2" customHeight="1" thickBot="1" x14ac:dyDescent="0.4">
      <c r="A60" s="110"/>
      <c r="B60" s="917" t="s">
        <v>728</v>
      </c>
      <c r="C60" s="918" t="s">
        <v>1431</v>
      </c>
      <c r="D60" s="157" t="s">
        <v>58</v>
      </c>
      <c r="E60" s="134">
        <v>0.3</v>
      </c>
      <c r="F60" s="135">
        <v>2000</v>
      </c>
      <c r="G60" s="130">
        <v>300</v>
      </c>
      <c r="H60" s="130">
        <v>120</v>
      </c>
      <c r="I60" s="136">
        <f>+G60/F60</f>
        <v>0.15</v>
      </c>
      <c r="J60" s="136">
        <f t="shared" si="50"/>
        <v>0.06</v>
      </c>
      <c r="K60" s="136">
        <f>+(G60/F60)*E60</f>
        <v>4.4999999999999998E-2</v>
      </c>
      <c r="L60" s="136">
        <f t="shared" si="51"/>
        <v>1.7999999999999999E-2</v>
      </c>
      <c r="M60" s="130">
        <v>547</v>
      </c>
      <c r="N60" s="542">
        <v>0</v>
      </c>
      <c r="O60" s="542">
        <v>531</v>
      </c>
      <c r="P60" s="542">
        <v>405</v>
      </c>
      <c r="Q60" s="130"/>
      <c r="R60" s="130">
        <f t="shared" ref="R60:R63" si="64">+N60+O60+P60+Q60</f>
        <v>936</v>
      </c>
      <c r="S60" s="130">
        <f t="shared" ref="S60:S63" si="65">+R60+M60</f>
        <v>1483</v>
      </c>
      <c r="T60" s="152">
        <v>1</v>
      </c>
      <c r="U60" s="152">
        <v>1</v>
      </c>
      <c r="V60" s="152">
        <f>+T60*E60</f>
        <v>0.3</v>
      </c>
      <c r="W60" s="152">
        <f t="shared" ref="W60:W62" si="66">+U60*E60</f>
        <v>0.3</v>
      </c>
      <c r="X60" s="152">
        <f>+M60/F60</f>
        <v>0.27350000000000002</v>
      </c>
      <c r="Y60" s="152">
        <f t="shared" si="56"/>
        <v>0.74150000000000005</v>
      </c>
      <c r="Z60" s="136">
        <f>+X60*E60</f>
        <v>8.2049999999999998E-2</v>
      </c>
      <c r="AA60" s="136">
        <f>+Y60*E60</f>
        <v>0.22245000000000001</v>
      </c>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row>
    <row r="61" spans="1:49" ht="111.6" customHeight="1" thickBot="1" x14ac:dyDescent="0.4">
      <c r="A61" s="110"/>
      <c r="B61" s="919" t="s">
        <v>729</v>
      </c>
      <c r="C61" s="920" t="s">
        <v>1432</v>
      </c>
      <c r="D61" s="158" t="s">
        <v>58</v>
      </c>
      <c r="E61" s="134">
        <v>0.4</v>
      </c>
      <c r="F61" s="135">
        <v>600</v>
      </c>
      <c r="G61" s="130">
        <v>0</v>
      </c>
      <c r="H61" s="130">
        <v>600</v>
      </c>
      <c r="I61" s="136"/>
      <c r="J61" s="136">
        <f t="shared" si="50"/>
        <v>1</v>
      </c>
      <c r="K61" s="136"/>
      <c r="L61" s="136">
        <f t="shared" si="51"/>
        <v>0.4</v>
      </c>
      <c r="M61" s="130"/>
      <c r="N61" s="542">
        <v>0</v>
      </c>
      <c r="O61" s="542">
        <v>0</v>
      </c>
      <c r="P61" s="542">
        <v>110</v>
      </c>
      <c r="Q61" s="130"/>
      <c r="R61" s="130">
        <f t="shared" si="64"/>
        <v>110</v>
      </c>
      <c r="S61" s="130">
        <f t="shared" si="65"/>
        <v>110</v>
      </c>
      <c r="T61" s="152"/>
      <c r="U61" s="152">
        <f t="shared" ref="U61:U63" si="67">+R61/H61</f>
        <v>0.18333333333333332</v>
      </c>
      <c r="V61" s="152"/>
      <c r="W61" s="152">
        <f t="shared" si="66"/>
        <v>7.3333333333333334E-2</v>
      </c>
      <c r="X61" s="152"/>
      <c r="Y61" s="152">
        <f t="shared" si="56"/>
        <v>0.18333333333333332</v>
      </c>
      <c r="Z61" s="136">
        <f>+X61*E61</f>
        <v>0</v>
      </c>
      <c r="AA61" s="136">
        <f t="shared" ref="AA61:AA63" si="68">+Y61*E61</f>
        <v>7.3333333333333334E-2</v>
      </c>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row>
    <row r="62" spans="1:49" ht="66" customHeight="1" thickBot="1" x14ac:dyDescent="0.4">
      <c r="A62" s="147"/>
      <c r="B62" s="921" t="s">
        <v>730</v>
      </c>
      <c r="C62" s="922" t="s">
        <v>1433</v>
      </c>
      <c r="D62" s="159" t="s">
        <v>58</v>
      </c>
      <c r="E62" s="134">
        <v>0.25</v>
      </c>
      <c r="F62" s="135">
        <v>400</v>
      </c>
      <c r="G62" s="130">
        <v>40</v>
      </c>
      <c r="H62" s="130">
        <v>100</v>
      </c>
      <c r="I62" s="136">
        <f>+G62/F62</f>
        <v>0.1</v>
      </c>
      <c r="J62" s="136">
        <f t="shared" si="50"/>
        <v>0.25</v>
      </c>
      <c r="K62" s="136">
        <f>+(G62/F62)*E62</f>
        <v>2.5000000000000001E-2</v>
      </c>
      <c r="L62" s="136">
        <f t="shared" si="51"/>
        <v>6.25E-2</v>
      </c>
      <c r="M62" s="130">
        <v>103</v>
      </c>
      <c r="N62" s="542">
        <v>0</v>
      </c>
      <c r="O62" s="542">
        <v>0</v>
      </c>
      <c r="P62" s="542">
        <v>78</v>
      </c>
      <c r="Q62" s="130"/>
      <c r="R62" s="130">
        <f t="shared" si="64"/>
        <v>78</v>
      </c>
      <c r="S62" s="130">
        <f t="shared" si="65"/>
        <v>181</v>
      </c>
      <c r="T62" s="152">
        <v>1</v>
      </c>
      <c r="U62" s="152">
        <f t="shared" si="67"/>
        <v>0.78</v>
      </c>
      <c r="V62" s="152">
        <f>+T62*E62</f>
        <v>0.25</v>
      </c>
      <c r="W62" s="152">
        <f t="shared" si="66"/>
        <v>0.19500000000000001</v>
      </c>
      <c r="X62" s="152">
        <f>+M62/F62</f>
        <v>0.25750000000000001</v>
      </c>
      <c r="Y62" s="152">
        <f t="shared" si="56"/>
        <v>0.45250000000000001</v>
      </c>
      <c r="Z62" s="136">
        <f>+X62*E62</f>
        <v>6.4375000000000002E-2</v>
      </c>
      <c r="AA62" s="136">
        <f t="shared" si="68"/>
        <v>0.113125</v>
      </c>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row>
    <row r="63" spans="1:49" ht="82.95" customHeight="1" thickBot="1" x14ac:dyDescent="0.4">
      <c r="A63" s="110"/>
      <c r="B63" s="923" t="s">
        <v>731</v>
      </c>
      <c r="C63" s="924" t="s">
        <v>1434</v>
      </c>
      <c r="D63" s="154" t="s">
        <v>58</v>
      </c>
      <c r="E63" s="134">
        <v>0.05</v>
      </c>
      <c r="F63" s="135">
        <v>4</v>
      </c>
      <c r="G63" s="130">
        <v>0</v>
      </c>
      <c r="H63" s="130">
        <v>2</v>
      </c>
      <c r="I63" s="136"/>
      <c r="J63" s="136">
        <f t="shared" si="50"/>
        <v>0.5</v>
      </c>
      <c r="K63" s="136"/>
      <c r="L63" s="136">
        <f t="shared" si="51"/>
        <v>2.5000000000000001E-2</v>
      </c>
      <c r="M63" s="130"/>
      <c r="N63" s="542">
        <v>0</v>
      </c>
      <c r="O63" s="542">
        <v>1</v>
      </c>
      <c r="P63" s="542">
        <v>1</v>
      </c>
      <c r="Q63" s="130"/>
      <c r="R63" s="130">
        <f t="shared" si="64"/>
        <v>2</v>
      </c>
      <c r="S63" s="130">
        <f t="shared" si="65"/>
        <v>2</v>
      </c>
      <c r="T63" s="136"/>
      <c r="U63" s="136">
        <f t="shared" si="67"/>
        <v>1</v>
      </c>
      <c r="V63" s="136"/>
      <c r="W63" s="136">
        <f>+U63*E63</f>
        <v>0.05</v>
      </c>
      <c r="X63" s="136"/>
      <c r="Y63" s="136">
        <f t="shared" si="56"/>
        <v>0.5</v>
      </c>
      <c r="Z63" s="136">
        <f>+X63*E63</f>
        <v>0</v>
      </c>
      <c r="AA63" s="136">
        <f t="shared" si="68"/>
        <v>2.5000000000000001E-2</v>
      </c>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row>
    <row r="64" spans="1:49" ht="42.75" customHeight="1" thickBot="1" x14ac:dyDescent="0.4">
      <c r="A64" s="110"/>
      <c r="B64" s="979" t="s">
        <v>1723</v>
      </c>
      <c r="C64" s="980"/>
      <c r="D64" s="160"/>
      <c r="E64" s="126">
        <v>0.1</v>
      </c>
      <c r="F64" s="146"/>
      <c r="G64" s="123"/>
      <c r="H64" s="123"/>
      <c r="I64" s="129"/>
      <c r="J64" s="129">
        <f>+AVERAGE(J65:J66)</f>
        <v>0</v>
      </c>
      <c r="K64" s="129"/>
      <c r="L64" s="129">
        <f>+L65+L66</f>
        <v>0</v>
      </c>
      <c r="M64" s="130"/>
      <c r="N64" s="130"/>
      <c r="O64" s="130"/>
      <c r="P64" s="130"/>
      <c r="Q64" s="130"/>
      <c r="R64" s="130"/>
      <c r="S64" s="130"/>
      <c r="T64" s="150"/>
      <c r="U64" s="150"/>
      <c r="V64" s="150"/>
      <c r="W64" s="150">
        <f>+(W65+W66)*E64</f>
        <v>0</v>
      </c>
      <c r="X64" s="129"/>
      <c r="Y64" s="129">
        <f>+AVERAGE(Y65:Y66)</f>
        <v>0</v>
      </c>
      <c r="Z64" s="129"/>
      <c r="AA64" s="129">
        <f>+(AA65+AA66)</f>
        <v>0</v>
      </c>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row>
    <row r="65" spans="1:49" ht="143.4" customHeight="1" thickBot="1" x14ac:dyDescent="0.4">
      <c r="A65" s="110"/>
      <c r="B65" s="923" t="s">
        <v>732</v>
      </c>
      <c r="C65" s="924" t="s">
        <v>1435</v>
      </c>
      <c r="D65" s="154" t="s">
        <v>1821</v>
      </c>
      <c r="E65" s="134">
        <v>0.5</v>
      </c>
      <c r="F65" s="135">
        <v>600</v>
      </c>
      <c r="G65" s="130">
        <v>0</v>
      </c>
      <c r="H65" s="130">
        <v>0</v>
      </c>
      <c r="I65" s="136"/>
      <c r="J65" s="136">
        <f t="shared" si="50"/>
        <v>0</v>
      </c>
      <c r="K65" s="136"/>
      <c r="L65" s="136">
        <f t="shared" si="51"/>
        <v>0</v>
      </c>
      <c r="M65" s="130"/>
      <c r="N65" s="542">
        <v>0</v>
      </c>
      <c r="O65" s="542">
        <v>0</v>
      </c>
      <c r="P65" s="130"/>
      <c r="Q65" s="130"/>
      <c r="R65" s="130">
        <f t="shared" ref="R65:R66" si="69">+N65+O65+P65+Q65</f>
        <v>0</v>
      </c>
      <c r="S65" s="130">
        <f t="shared" ref="S65:S66" si="70">+R65+M65</f>
        <v>0</v>
      </c>
      <c r="T65" s="137"/>
      <c r="U65" s="136"/>
      <c r="V65" s="138"/>
      <c r="W65" s="138">
        <f t="shared" ref="W65" si="71">+U65*E65</f>
        <v>0</v>
      </c>
      <c r="X65" s="136"/>
      <c r="Y65" s="136"/>
      <c r="Z65" s="136"/>
      <c r="AA65" s="136">
        <f t="shared" ref="AA65:AA66" si="72">+Y65*E65</f>
        <v>0</v>
      </c>
      <c r="AB65" s="117"/>
      <c r="AC65" s="106"/>
      <c r="AD65" s="106"/>
      <c r="AE65" s="106"/>
      <c r="AF65" s="106"/>
      <c r="AG65" s="106"/>
      <c r="AH65" s="106"/>
      <c r="AI65" s="106"/>
      <c r="AJ65" s="106"/>
      <c r="AK65" s="106"/>
      <c r="AL65" s="106"/>
      <c r="AM65" s="106"/>
      <c r="AN65" s="106"/>
      <c r="AO65" s="106"/>
      <c r="AP65" s="106"/>
      <c r="AQ65" s="106"/>
      <c r="AR65" s="106"/>
      <c r="AS65" s="106"/>
      <c r="AT65" s="106"/>
      <c r="AU65" s="106"/>
      <c r="AV65" s="106"/>
      <c r="AW65" s="106"/>
    </row>
    <row r="66" spans="1:49" ht="130.19999999999999" customHeight="1" thickBot="1" x14ac:dyDescent="0.4">
      <c r="A66" s="110"/>
      <c r="B66" s="923" t="s">
        <v>734</v>
      </c>
      <c r="C66" s="924" t="s">
        <v>1436</v>
      </c>
      <c r="D66" s="154" t="s">
        <v>733</v>
      </c>
      <c r="E66" s="134">
        <v>0.5</v>
      </c>
      <c r="F66" s="135">
        <v>6</v>
      </c>
      <c r="G66" s="130">
        <v>0</v>
      </c>
      <c r="H66" s="130">
        <v>0</v>
      </c>
      <c r="I66" s="136"/>
      <c r="J66" s="136">
        <f t="shared" si="50"/>
        <v>0</v>
      </c>
      <c r="K66" s="136"/>
      <c r="L66" s="136">
        <f t="shared" si="51"/>
        <v>0</v>
      </c>
      <c r="M66" s="130"/>
      <c r="N66" s="542">
        <v>0</v>
      </c>
      <c r="O66" s="542">
        <v>0</v>
      </c>
      <c r="P66" s="542"/>
      <c r="Q66" s="130"/>
      <c r="R66" s="130">
        <f t="shared" si="69"/>
        <v>0</v>
      </c>
      <c r="S66" s="130">
        <f t="shared" si="70"/>
        <v>0</v>
      </c>
      <c r="T66" s="137"/>
      <c r="U66" s="136"/>
      <c r="V66" s="138"/>
      <c r="W66" s="138">
        <f>+U66*E66</f>
        <v>0</v>
      </c>
      <c r="X66" s="136"/>
      <c r="Y66" s="136">
        <f t="shared" ref="Y66" si="73">+S66/F66</f>
        <v>0</v>
      </c>
      <c r="Z66" s="136"/>
      <c r="AA66" s="136">
        <f t="shared" si="72"/>
        <v>0</v>
      </c>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row>
    <row r="67" spans="1:49" ht="129" customHeight="1" thickBot="1" x14ac:dyDescent="0.4">
      <c r="A67" s="110"/>
      <c r="B67" s="966" t="s">
        <v>1724</v>
      </c>
      <c r="C67" s="967"/>
      <c r="D67" s="154"/>
      <c r="E67" s="118">
        <v>0.1</v>
      </c>
      <c r="F67" s="119">
        <f>+E67*V67</f>
        <v>2.2000000000000002E-2</v>
      </c>
      <c r="G67" s="123"/>
      <c r="H67" s="119">
        <f>+E67*W67</f>
        <v>3.6418333333333337E-2</v>
      </c>
      <c r="I67" s="121">
        <f>+((I86+I96)/2)*(2/5)</f>
        <v>0.1135</v>
      </c>
      <c r="J67" s="121">
        <f>+(J68+J73+J86+J91+J96)/5</f>
        <v>0.50593420257578892</v>
      </c>
      <c r="K67" s="122">
        <f>+((K86+K96)/2)*(2/5)</f>
        <v>0.20750000000000002</v>
      </c>
      <c r="L67" s="122">
        <f>+(L68+L73+L86+L91+L96)/5</f>
        <v>0.47529743197983565</v>
      </c>
      <c r="M67" s="123"/>
      <c r="N67" s="123"/>
      <c r="O67" s="123"/>
      <c r="P67" s="123"/>
      <c r="Q67" s="123"/>
      <c r="R67" s="123"/>
      <c r="S67" s="123"/>
      <c r="T67" s="121">
        <f>+(T86+T96)/2</f>
        <v>1</v>
      </c>
      <c r="U67" s="121">
        <f>+(U68+U73+U86+U91+U96)/5</f>
        <v>0.47122222222222226</v>
      </c>
      <c r="V67" s="122">
        <f>V68+V73+V86+V91+V96</f>
        <v>0.22</v>
      </c>
      <c r="W67" s="122">
        <f>W68+W73+W86+W91+W96</f>
        <v>0.36418333333333336</v>
      </c>
      <c r="X67" s="121">
        <f>+((X86+X96) /2 )*(2/5)</f>
        <v>0.16850000000000001</v>
      </c>
      <c r="Y67" s="121">
        <f>+(Y68+Y73+Y86+Y91+Y96)/5</f>
        <v>0.35891825495476831</v>
      </c>
      <c r="Z67" s="122">
        <f>Z68+Z73+Z86+Z91+Z96</f>
        <v>8.3350000000000007E-2</v>
      </c>
      <c r="AA67" s="122">
        <f>AA68*E68+AA73*E73+AA86*E86+AA91*E91+AA96*E96</f>
        <v>0.26484565594572196</v>
      </c>
      <c r="AB67" s="106"/>
      <c r="AC67" s="106"/>
      <c r="AD67" s="106"/>
      <c r="AE67" s="106"/>
      <c r="AF67" s="106"/>
      <c r="AG67" s="106"/>
      <c r="AH67" s="106"/>
      <c r="AI67" s="106"/>
      <c r="AJ67" s="106"/>
      <c r="AK67" s="106"/>
      <c r="AL67" s="106"/>
      <c r="AM67" s="106"/>
      <c r="AN67" s="106"/>
      <c r="AO67" s="106"/>
      <c r="AP67" s="106"/>
      <c r="AQ67" s="106"/>
      <c r="AR67" s="106"/>
      <c r="AS67" s="106"/>
      <c r="AT67" s="106"/>
      <c r="AU67" s="106"/>
      <c r="AV67" s="106"/>
      <c r="AW67" s="106"/>
    </row>
    <row r="68" spans="1:49" ht="57" customHeight="1" thickBot="1" x14ac:dyDescent="0.4">
      <c r="A68" s="110"/>
      <c r="B68" s="968" t="s">
        <v>1725</v>
      </c>
      <c r="C68" s="969"/>
      <c r="D68" s="161"/>
      <c r="E68" s="126">
        <v>0.25</v>
      </c>
      <c r="F68" s="146"/>
      <c r="G68" s="123"/>
      <c r="H68" s="123"/>
      <c r="I68" s="129"/>
      <c r="J68" s="129">
        <f>+AVERAGE(J69:J72)</f>
        <v>0.3845486111111111</v>
      </c>
      <c r="K68" s="129"/>
      <c r="L68" s="129">
        <f>+L69+L70+L71+L72</f>
        <v>0.35642361111111109</v>
      </c>
      <c r="M68" s="128"/>
      <c r="N68" s="128"/>
      <c r="O68" s="128"/>
      <c r="P68" s="128"/>
      <c r="Q68" s="128"/>
      <c r="R68" s="128"/>
      <c r="S68" s="128"/>
      <c r="T68" s="150"/>
      <c r="U68" s="150">
        <f>+AVERAGE(U69:U72)</f>
        <v>0.5</v>
      </c>
      <c r="V68" s="150"/>
      <c r="W68" s="150">
        <f>+(W69+W70+W71+W72)*E68</f>
        <v>9.9999999999999992E-2</v>
      </c>
      <c r="X68" s="129"/>
      <c r="Y68" s="129">
        <f>+AVERAGE(Y69:Y72)</f>
        <v>0.22812499999999999</v>
      </c>
      <c r="Z68" s="129"/>
      <c r="AA68" s="129">
        <f>+(AA69+AA70+AA71+AA72)</f>
        <v>0.16937499999999997</v>
      </c>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row>
    <row r="69" spans="1:49" ht="51" customHeight="1" thickBot="1" x14ac:dyDescent="0.4">
      <c r="A69" s="110"/>
      <c r="B69" s="140" t="s">
        <v>735</v>
      </c>
      <c r="C69" s="916" t="s">
        <v>1437</v>
      </c>
      <c r="D69" s="144" t="s">
        <v>736</v>
      </c>
      <c r="E69" s="134">
        <v>0.05</v>
      </c>
      <c r="F69" s="135">
        <v>4</v>
      </c>
      <c r="G69" s="130">
        <v>0</v>
      </c>
      <c r="H69" s="130">
        <v>2</v>
      </c>
      <c r="I69" s="136"/>
      <c r="J69" s="136">
        <f t="shared" ref="J69:J95" si="74">+H69/F69</f>
        <v>0.5</v>
      </c>
      <c r="K69" s="136"/>
      <c r="L69" s="136">
        <f t="shared" ref="L69:L99" si="75">+(H69/F69)*E69</f>
        <v>2.5000000000000001E-2</v>
      </c>
      <c r="M69" s="130"/>
      <c r="N69" s="542">
        <v>0</v>
      </c>
      <c r="O69" s="542">
        <v>0.52</v>
      </c>
      <c r="P69" s="542">
        <v>1.48</v>
      </c>
      <c r="Q69" s="130"/>
      <c r="R69" s="130">
        <f t="shared" ref="R69:R99" si="76">+N69+O69+P69+Q69</f>
        <v>2</v>
      </c>
      <c r="S69" s="130">
        <f t="shared" ref="S69:S99" si="77">+R69+M69</f>
        <v>2</v>
      </c>
      <c r="T69" s="136"/>
      <c r="U69" s="152">
        <f t="shared" ref="U69:U71" si="78">+R69/H69</f>
        <v>1</v>
      </c>
      <c r="V69" s="152"/>
      <c r="W69" s="152">
        <f t="shared" ref="W69:W72" si="79">+U69*E69</f>
        <v>0.05</v>
      </c>
      <c r="X69" s="152"/>
      <c r="Y69" s="152">
        <f t="shared" ref="Y69:Y72" si="80">+S69/F69</f>
        <v>0.5</v>
      </c>
      <c r="Z69" s="136"/>
      <c r="AA69" s="136">
        <f t="shared" ref="AA69:AA85" si="81">+Y69*E69</f>
        <v>2.5000000000000001E-2</v>
      </c>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row>
    <row r="70" spans="1:49" ht="36.6" thickBot="1" x14ac:dyDescent="0.4">
      <c r="A70" s="110"/>
      <c r="B70" s="140" t="s">
        <v>737</v>
      </c>
      <c r="C70" s="916" t="s">
        <v>1438</v>
      </c>
      <c r="D70" s="144" t="s">
        <v>736</v>
      </c>
      <c r="E70" s="134">
        <v>0.2</v>
      </c>
      <c r="F70" s="135">
        <v>6</v>
      </c>
      <c r="G70" s="130">
        <v>0</v>
      </c>
      <c r="H70" s="130">
        <v>2</v>
      </c>
      <c r="I70" s="136"/>
      <c r="J70" s="136">
        <f t="shared" si="74"/>
        <v>0.33333333333333331</v>
      </c>
      <c r="K70" s="136"/>
      <c r="L70" s="136">
        <f t="shared" si="75"/>
        <v>6.6666666666666666E-2</v>
      </c>
      <c r="M70" s="130"/>
      <c r="N70" s="542">
        <v>0</v>
      </c>
      <c r="O70" s="542">
        <v>0</v>
      </c>
      <c r="P70" s="542">
        <v>0</v>
      </c>
      <c r="Q70" s="130"/>
      <c r="R70" s="130">
        <f t="shared" si="76"/>
        <v>0</v>
      </c>
      <c r="S70" s="130">
        <f t="shared" si="77"/>
        <v>0</v>
      </c>
      <c r="T70" s="136"/>
      <c r="U70" s="152">
        <f t="shared" si="78"/>
        <v>0</v>
      </c>
      <c r="V70" s="152"/>
      <c r="W70" s="152">
        <f t="shared" si="79"/>
        <v>0</v>
      </c>
      <c r="X70" s="152"/>
      <c r="Y70" s="152">
        <f t="shared" si="80"/>
        <v>0</v>
      </c>
      <c r="Z70" s="136"/>
      <c r="AA70" s="136">
        <f t="shared" si="81"/>
        <v>0</v>
      </c>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row>
    <row r="71" spans="1:49" ht="75" customHeight="1" thickBot="1" x14ac:dyDescent="0.4">
      <c r="A71" s="110"/>
      <c r="B71" s="140" t="s">
        <v>738</v>
      </c>
      <c r="C71" s="916" t="s">
        <v>1439</v>
      </c>
      <c r="D71" s="162" t="s">
        <v>736</v>
      </c>
      <c r="E71" s="134">
        <v>0.4</v>
      </c>
      <c r="F71" s="135">
        <v>360</v>
      </c>
      <c r="G71" s="130">
        <v>0</v>
      </c>
      <c r="H71" s="130">
        <v>130</v>
      </c>
      <c r="I71" s="136"/>
      <c r="J71" s="136">
        <f t="shared" si="74"/>
        <v>0.3611111111111111</v>
      </c>
      <c r="K71" s="136"/>
      <c r="L71" s="136">
        <f>+(H71/F71)*E71</f>
        <v>0.14444444444444446</v>
      </c>
      <c r="M71" s="130"/>
      <c r="N71" s="542">
        <v>0</v>
      </c>
      <c r="O71" s="542">
        <v>0</v>
      </c>
      <c r="P71" s="542">
        <v>0</v>
      </c>
      <c r="Q71" s="130"/>
      <c r="R71" s="130">
        <f t="shared" si="76"/>
        <v>0</v>
      </c>
      <c r="S71" s="130">
        <f t="shared" si="77"/>
        <v>0</v>
      </c>
      <c r="T71" s="136"/>
      <c r="U71" s="152">
        <f t="shared" si="78"/>
        <v>0</v>
      </c>
      <c r="V71" s="152"/>
      <c r="W71" s="152">
        <f t="shared" si="79"/>
        <v>0</v>
      </c>
      <c r="X71" s="152"/>
      <c r="Y71" s="152">
        <f t="shared" si="80"/>
        <v>0</v>
      </c>
      <c r="Z71" s="136"/>
      <c r="AA71" s="136">
        <f t="shared" si="81"/>
        <v>0</v>
      </c>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row>
    <row r="72" spans="1:49" ht="83.4" customHeight="1" thickBot="1" x14ac:dyDescent="0.4">
      <c r="A72" s="110"/>
      <c r="B72" s="140" t="s">
        <v>739</v>
      </c>
      <c r="C72" s="916" t="s">
        <v>1440</v>
      </c>
      <c r="D72" s="161" t="s">
        <v>736</v>
      </c>
      <c r="E72" s="134">
        <v>0.35</v>
      </c>
      <c r="F72" s="135">
        <v>320</v>
      </c>
      <c r="G72" s="130">
        <v>0</v>
      </c>
      <c r="H72" s="130">
        <v>110</v>
      </c>
      <c r="I72" s="136"/>
      <c r="J72" s="136">
        <f t="shared" si="74"/>
        <v>0.34375</v>
      </c>
      <c r="K72" s="136"/>
      <c r="L72" s="136">
        <f t="shared" si="75"/>
        <v>0.12031249999999999</v>
      </c>
      <c r="M72" s="130"/>
      <c r="N72" s="542">
        <v>0</v>
      </c>
      <c r="O72" s="542">
        <v>81</v>
      </c>
      <c r="P72" s="542">
        <v>51</v>
      </c>
      <c r="Q72" s="130"/>
      <c r="R72" s="130">
        <f t="shared" si="76"/>
        <v>132</v>
      </c>
      <c r="S72" s="130">
        <f t="shared" si="77"/>
        <v>132</v>
      </c>
      <c r="T72" s="136"/>
      <c r="U72" s="152">
        <v>1</v>
      </c>
      <c r="V72" s="152"/>
      <c r="W72" s="152">
        <f t="shared" si="79"/>
        <v>0.35</v>
      </c>
      <c r="X72" s="152"/>
      <c r="Y72" s="152">
        <f t="shared" si="80"/>
        <v>0.41249999999999998</v>
      </c>
      <c r="Z72" s="136"/>
      <c r="AA72" s="136">
        <f t="shared" si="81"/>
        <v>0.14437499999999998</v>
      </c>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row>
    <row r="73" spans="1:49" ht="57" customHeight="1" thickBot="1" x14ac:dyDescent="0.4">
      <c r="A73" s="110"/>
      <c r="B73" s="970" t="s">
        <v>1726</v>
      </c>
      <c r="C73" s="971"/>
      <c r="D73" s="144"/>
      <c r="E73" s="126">
        <v>0.2</v>
      </c>
      <c r="F73" s="146"/>
      <c r="G73" s="123"/>
      <c r="H73" s="123"/>
      <c r="I73" s="129"/>
      <c r="J73" s="129">
        <f>+AVERAGE(J74:J85)</f>
        <v>0.53803906843450033</v>
      </c>
      <c r="K73" s="129"/>
      <c r="L73" s="129">
        <f>+L74+L75+L76+L77+L78+L79+L80+L81+L82+L83+L84+L85</f>
        <v>0.44564688212140052</v>
      </c>
      <c r="M73" s="128"/>
      <c r="N73" s="128"/>
      <c r="O73" s="128"/>
      <c r="P73" s="128"/>
      <c r="Q73" s="128"/>
      <c r="R73" s="128"/>
      <c r="S73" s="128"/>
      <c r="T73" s="150"/>
      <c r="U73" s="150">
        <f>+AVERAGE(U74:U85)</f>
        <v>0.26027777777777777</v>
      </c>
      <c r="V73" s="150"/>
      <c r="W73" s="150">
        <f>+(W74+W75+W76+W77+W78+W79+W80+W81+W82+W83+W84+W85)*E73</f>
        <v>4.8933333333333336E-2</v>
      </c>
      <c r="X73" s="129"/>
      <c r="Y73" s="129">
        <f>+AVERAGE(Y74:Y85)</f>
        <v>0.11091071921828603</v>
      </c>
      <c r="Z73" s="129"/>
      <c r="AA73" s="129">
        <f>+(AA74+AA75+AA76+AA77+AA78+AA79+AA80+AA81+AA82+AA83+AA84+AA85)</f>
        <v>9.9592863061943232E-2</v>
      </c>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row>
    <row r="74" spans="1:49" ht="88.2" customHeight="1" thickBot="1" x14ac:dyDescent="0.4">
      <c r="A74" s="110"/>
      <c r="B74" s="140" t="s">
        <v>740</v>
      </c>
      <c r="C74" s="916" t="s">
        <v>1441</v>
      </c>
      <c r="D74" s="144" t="s">
        <v>736</v>
      </c>
      <c r="E74" s="134">
        <v>0.1</v>
      </c>
      <c r="F74" s="135">
        <v>4827</v>
      </c>
      <c r="G74" s="130">
        <v>0</v>
      </c>
      <c r="H74" s="130">
        <v>1600</v>
      </c>
      <c r="I74" s="136"/>
      <c r="J74" s="136">
        <f t="shared" si="74"/>
        <v>0.33146882121400456</v>
      </c>
      <c r="K74" s="136"/>
      <c r="L74" s="136">
        <f t="shared" si="75"/>
        <v>3.3146882121400455E-2</v>
      </c>
      <c r="M74" s="130"/>
      <c r="N74" s="542">
        <v>0</v>
      </c>
      <c r="O74" s="542">
        <v>1131</v>
      </c>
      <c r="P74" s="542">
        <v>575</v>
      </c>
      <c r="Q74" s="130"/>
      <c r="R74" s="130">
        <f t="shared" si="76"/>
        <v>1706</v>
      </c>
      <c r="S74" s="130">
        <f t="shared" si="77"/>
        <v>1706</v>
      </c>
      <c r="T74" s="136"/>
      <c r="U74" s="136">
        <v>1</v>
      </c>
      <c r="V74" s="136"/>
      <c r="W74" s="136">
        <f t="shared" ref="W74:W99" si="82">+U74*E74</f>
        <v>0.1</v>
      </c>
      <c r="X74" s="136"/>
      <c r="Y74" s="136">
        <f t="shared" ref="Y74:Y99" si="83">+S74/F74</f>
        <v>0.35342863061943236</v>
      </c>
      <c r="Z74" s="136"/>
      <c r="AA74" s="136">
        <f t="shared" si="81"/>
        <v>3.5342863061943237E-2</v>
      </c>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row>
    <row r="75" spans="1:49" ht="107.4" customHeight="1" thickBot="1" x14ac:dyDescent="0.4">
      <c r="A75" s="110"/>
      <c r="B75" s="800" t="s">
        <v>741</v>
      </c>
      <c r="C75" s="802" t="s">
        <v>1442</v>
      </c>
      <c r="D75" s="144" t="s">
        <v>736</v>
      </c>
      <c r="E75" s="134">
        <v>0.2</v>
      </c>
      <c r="F75" s="135">
        <v>400</v>
      </c>
      <c r="G75" s="130">
        <v>0</v>
      </c>
      <c r="H75" s="130">
        <v>150</v>
      </c>
      <c r="I75" s="136"/>
      <c r="J75" s="136">
        <f t="shared" si="74"/>
        <v>0.375</v>
      </c>
      <c r="K75" s="136"/>
      <c r="L75" s="136">
        <f t="shared" si="75"/>
        <v>7.5000000000000011E-2</v>
      </c>
      <c r="M75" s="130"/>
      <c r="N75" s="542">
        <v>0</v>
      </c>
      <c r="O75" s="542">
        <v>6</v>
      </c>
      <c r="P75" s="542">
        <v>25</v>
      </c>
      <c r="Q75" s="130"/>
      <c r="R75" s="130">
        <f t="shared" si="76"/>
        <v>31</v>
      </c>
      <c r="S75" s="130">
        <f t="shared" si="77"/>
        <v>31</v>
      </c>
      <c r="T75" s="136"/>
      <c r="U75" s="152">
        <f>+R75/H75</f>
        <v>0.20666666666666667</v>
      </c>
      <c r="V75" s="152"/>
      <c r="W75" s="152">
        <f t="shared" si="82"/>
        <v>4.1333333333333333E-2</v>
      </c>
      <c r="X75" s="152"/>
      <c r="Y75" s="152">
        <f t="shared" si="83"/>
        <v>7.7499999999999999E-2</v>
      </c>
      <c r="Z75" s="136"/>
      <c r="AA75" s="136">
        <f t="shared" si="81"/>
        <v>1.55E-2</v>
      </c>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row>
    <row r="76" spans="1:49" ht="65.400000000000006" customHeight="1" thickBot="1" x14ac:dyDescent="0.4">
      <c r="A76" s="110"/>
      <c r="B76" s="140" t="s">
        <v>742</v>
      </c>
      <c r="C76" s="916" t="s">
        <v>1443</v>
      </c>
      <c r="D76" s="144" t="s">
        <v>736</v>
      </c>
      <c r="E76" s="134">
        <v>0.05</v>
      </c>
      <c r="F76" s="135">
        <v>8</v>
      </c>
      <c r="G76" s="130">
        <v>0</v>
      </c>
      <c r="H76" s="130">
        <v>3</v>
      </c>
      <c r="I76" s="136"/>
      <c r="J76" s="136">
        <f t="shared" si="74"/>
        <v>0.375</v>
      </c>
      <c r="K76" s="136"/>
      <c r="L76" s="136">
        <f>+(H76/F76)*E76</f>
        <v>1.8750000000000003E-2</v>
      </c>
      <c r="M76" s="130"/>
      <c r="N76" s="542">
        <v>0</v>
      </c>
      <c r="O76" s="542">
        <v>0.85</v>
      </c>
      <c r="P76" s="542">
        <v>2.15</v>
      </c>
      <c r="Q76" s="130"/>
      <c r="R76" s="130">
        <f t="shared" si="76"/>
        <v>3</v>
      </c>
      <c r="S76" s="130">
        <f t="shared" si="77"/>
        <v>3</v>
      </c>
      <c r="T76" s="136"/>
      <c r="U76" s="152">
        <f t="shared" ref="U76:U99" si="84">+R76/H76</f>
        <v>1</v>
      </c>
      <c r="V76" s="152"/>
      <c r="W76" s="152">
        <f t="shared" si="82"/>
        <v>0.05</v>
      </c>
      <c r="X76" s="152"/>
      <c r="Y76" s="152">
        <f t="shared" si="83"/>
        <v>0.375</v>
      </c>
      <c r="Z76" s="136"/>
      <c r="AA76" s="136">
        <f t="shared" si="81"/>
        <v>1.8750000000000003E-2</v>
      </c>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row>
    <row r="77" spans="1:49" ht="75" customHeight="1" thickBot="1" x14ac:dyDescent="0.4">
      <c r="A77" s="110"/>
      <c r="B77" s="140" t="s">
        <v>743</v>
      </c>
      <c r="C77" s="916" t="s">
        <v>1444</v>
      </c>
      <c r="D77" s="144" t="s">
        <v>736</v>
      </c>
      <c r="E77" s="134">
        <v>0.05</v>
      </c>
      <c r="F77" s="135">
        <v>80</v>
      </c>
      <c r="G77" s="130">
        <v>0</v>
      </c>
      <c r="H77" s="130">
        <v>30</v>
      </c>
      <c r="I77" s="136"/>
      <c r="J77" s="136">
        <f t="shared" si="74"/>
        <v>0.375</v>
      </c>
      <c r="K77" s="136"/>
      <c r="L77" s="136">
        <f t="shared" si="75"/>
        <v>1.8750000000000003E-2</v>
      </c>
      <c r="M77" s="130"/>
      <c r="N77" s="542">
        <v>0</v>
      </c>
      <c r="O77" s="542">
        <v>0</v>
      </c>
      <c r="P77" s="542">
        <v>0</v>
      </c>
      <c r="Q77" s="130"/>
      <c r="R77" s="130">
        <f t="shared" si="76"/>
        <v>0</v>
      </c>
      <c r="S77" s="130">
        <f t="shared" si="77"/>
        <v>0</v>
      </c>
      <c r="T77" s="136"/>
      <c r="U77" s="152">
        <f t="shared" si="84"/>
        <v>0</v>
      </c>
      <c r="V77" s="152"/>
      <c r="W77" s="152">
        <f>+U77*E77</f>
        <v>0</v>
      </c>
      <c r="X77" s="152"/>
      <c r="Y77" s="152">
        <f t="shared" si="83"/>
        <v>0</v>
      </c>
      <c r="Z77" s="136"/>
      <c r="AA77" s="136">
        <f t="shared" si="81"/>
        <v>0</v>
      </c>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row>
    <row r="78" spans="1:49" ht="63.6" customHeight="1" thickBot="1" x14ac:dyDescent="0.4">
      <c r="A78" s="110"/>
      <c r="B78" s="140" t="s">
        <v>744</v>
      </c>
      <c r="C78" s="916" t="s">
        <v>1445</v>
      </c>
      <c r="D78" s="144" t="s">
        <v>745</v>
      </c>
      <c r="E78" s="134">
        <v>0.25</v>
      </c>
      <c r="F78" s="135">
        <v>500</v>
      </c>
      <c r="G78" s="130">
        <v>0</v>
      </c>
      <c r="H78" s="130">
        <v>200</v>
      </c>
      <c r="I78" s="136"/>
      <c r="J78" s="136">
        <f t="shared" si="74"/>
        <v>0.4</v>
      </c>
      <c r="K78" s="136"/>
      <c r="L78" s="136">
        <f t="shared" si="75"/>
        <v>0.1</v>
      </c>
      <c r="M78" s="130"/>
      <c r="N78" s="542">
        <v>0</v>
      </c>
      <c r="O78" s="542">
        <v>0</v>
      </c>
      <c r="P78" s="542">
        <v>0</v>
      </c>
      <c r="Q78" s="130"/>
      <c r="R78" s="130">
        <f t="shared" si="76"/>
        <v>0</v>
      </c>
      <c r="S78" s="130">
        <f t="shared" si="77"/>
        <v>0</v>
      </c>
      <c r="T78" s="136"/>
      <c r="U78" s="152">
        <f t="shared" si="84"/>
        <v>0</v>
      </c>
      <c r="V78" s="152"/>
      <c r="W78" s="152">
        <f t="shared" si="82"/>
        <v>0</v>
      </c>
      <c r="X78" s="152"/>
      <c r="Y78" s="152">
        <f t="shared" si="83"/>
        <v>0</v>
      </c>
      <c r="Z78" s="136"/>
      <c r="AA78" s="136">
        <f>+Y78*E78</f>
        <v>0</v>
      </c>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row>
    <row r="79" spans="1:49" ht="61.95" customHeight="1" thickBot="1" x14ac:dyDescent="0.4">
      <c r="A79" s="110"/>
      <c r="B79" s="140" t="s">
        <v>746</v>
      </c>
      <c r="C79" s="916" t="s">
        <v>1446</v>
      </c>
      <c r="D79" s="144" t="s">
        <v>736</v>
      </c>
      <c r="E79" s="134">
        <v>0.05</v>
      </c>
      <c r="F79" s="135">
        <v>2</v>
      </c>
      <c r="G79" s="130">
        <v>0</v>
      </c>
      <c r="H79" s="130">
        <v>1</v>
      </c>
      <c r="I79" s="136"/>
      <c r="J79" s="136">
        <f t="shared" si="74"/>
        <v>0.5</v>
      </c>
      <c r="K79" s="136"/>
      <c r="L79" s="136">
        <f t="shared" si="75"/>
        <v>2.5000000000000001E-2</v>
      </c>
      <c r="M79" s="130"/>
      <c r="N79" s="542">
        <v>0</v>
      </c>
      <c r="O79" s="542">
        <v>0</v>
      </c>
      <c r="P79" s="542">
        <v>0</v>
      </c>
      <c r="Q79" s="130"/>
      <c r="R79" s="130">
        <f t="shared" si="76"/>
        <v>0</v>
      </c>
      <c r="S79" s="130">
        <f t="shared" si="77"/>
        <v>0</v>
      </c>
      <c r="T79" s="136"/>
      <c r="U79" s="152">
        <f t="shared" si="84"/>
        <v>0</v>
      </c>
      <c r="V79" s="152"/>
      <c r="W79" s="152">
        <f t="shared" si="82"/>
        <v>0</v>
      </c>
      <c r="X79" s="152"/>
      <c r="Y79" s="152">
        <f>+S79/F79</f>
        <v>0</v>
      </c>
      <c r="Z79" s="136"/>
      <c r="AA79" s="136">
        <f t="shared" si="81"/>
        <v>0</v>
      </c>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row>
    <row r="80" spans="1:49" ht="42" customHeight="1" thickBot="1" x14ac:dyDescent="0.4">
      <c r="A80" s="110"/>
      <c r="B80" s="140" t="s">
        <v>747</v>
      </c>
      <c r="C80" s="916" t="s">
        <v>1447</v>
      </c>
      <c r="D80" s="144" t="s">
        <v>736</v>
      </c>
      <c r="E80" s="134">
        <v>0.11</v>
      </c>
      <c r="F80" s="135">
        <v>4</v>
      </c>
      <c r="G80" s="130">
        <v>0</v>
      </c>
      <c r="H80" s="130">
        <v>2</v>
      </c>
      <c r="I80" s="136"/>
      <c r="J80" s="136">
        <f t="shared" si="74"/>
        <v>0.5</v>
      </c>
      <c r="K80" s="136"/>
      <c r="L80" s="136">
        <f t="shared" si="75"/>
        <v>5.5E-2</v>
      </c>
      <c r="M80" s="130"/>
      <c r="N80" s="542">
        <v>0</v>
      </c>
      <c r="O80" s="542">
        <v>0</v>
      </c>
      <c r="P80" s="542">
        <v>0</v>
      </c>
      <c r="Q80" s="130"/>
      <c r="R80" s="130">
        <f t="shared" si="76"/>
        <v>0</v>
      </c>
      <c r="S80" s="130">
        <f t="shared" si="77"/>
        <v>0</v>
      </c>
      <c r="T80" s="136"/>
      <c r="U80" s="152">
        <f t="shared" si="84"/>
        <v>0</v>
      </c>
      <c r="V80" s="152"/>
      <c r="W80" s="152">
        <f>+U80*E80</f>
        <v>0</v>
      </c>
      <c r="X80" s="152"/>
      <c r="Y80" s="152">
        <f t="shared" si="83"/>
        <v>0</v>
      </c>
      <c r="Z80" s="136"/>
      <c r="AA80" s="136">
        <f t="shared" si="81"/>
        <v>0</v>
      </c>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row>
    <row r="81" spans="1:49" ht="61.95" customHeight="1" thickBot="1" x14ac:dyDescent="0.4">
      <c r="A81" s="110"/>
      <c r="B81" s="140" t="s">
        <v>748</v>
      </c>
      <c r="C81" s="916" t="s">
        <v>1448</v>
      </c>
      <c r="D81" s="144" t="s">
        <v>736</v>
      </c>
      <c r="E81" s="134">
        <v>0.02</v>
      </c>
      <c r="F81" s="135">
        <v>2</v>
      </c>
      <c r="G81" s="130">
        <v>0</v>
      </c>
      <c r="H81" s="130">
        <v>1</v>
      </c>
      <c r="I81" s="136"/>
      <c r="J81" s="136">
        <f t="shared" si="74"/>
        <v>0.5</v>
      </c>
      <c r="K81" s="136"/>
      <c r="L81" s="136">
        <f t="shared" si="75"/>
        <v>0.01</v>
      </c>
      <c r="M81" s="130"/>
      <c r="N81" s="542">
        <v>0</v>
      </c>
      <c r="O81" s="542">
        <v>0</v>
      </c>
      <c r="P81" s="542">
        <v>0</v>
      </c>
      <c r="Q81" s="130"/>
      <c r="R81" s="130">
        <f t="shared" si="76"/>
        <v>0</v>
      </c>
      <c r="S81" s="130">
        <f t="shared" si="77"/>
        <v>0</v>
      </c>
      <c r="T81" s="136"/>
      <c r="U81" s="152">
        <f t="shared" si="84"/>
        <v>0</v>
      </c>
      <c r="V81" s="152"/>
      <c r="W81" s="152">
        <f t="shared" si="82"/>
        <v>0</v>
      </c>
      <c r="X81" s="152"/>
      <c r="Y81" s="152">
        <f t="shared" si="83"/>
        <v>0</v>
      </c>
      <c r="Z81" s="136"/>
      <c r="AA81" s="136">
        <f t="shared" si="81"/>
        <v>0</v>
      </c>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row>
    <row r="82" spans="1:49" ht="45.6" customHeight="1" thickBot="1" x14ac:dyDescent="0.4">
      <c r="A82" s="110"/>
      <c r="B82" s="140" t="s">
        <v>749</v>
      </c>
      <c r="C82" s="916" t="s">
        <v>1449</v>
      </c>
      <c r="D82" s="144" t="s">
        <v>736</v>
      </c>
      <c r="E82" s="134">
        <v>0.02</v>
      </c>
      <c r="F82" s="135">
        <v>1</v>
      </c>
      <c r="G82" s="130">
        <v>0</v>
      </c>
      <c r="H82" s="130">
        <v>1</v>
      </c>
      <c r="I82" s="136"/>
      <c r="J82" s="136">
        <f t="shared" si="74"/>
        <v>1</v>
      </c>
      <c r="K82" s="136"/>
      <c r="L82" s="136">
        <f t="shared" si="75"/>
        <v>0.02</v>
      </c>
      <c r="M82" s="130"/>
      <c r="N82" s="542">
        <v>0</v>
      </c>
      <c r="O82" s="542">
        <v>0</v>
      </c>
      <c r="P82" s="542">
        <v>0</v>
      </c>
      <c r="Q82" s="130"/>
      <c r="R82" s="130">
        <f t="shared" si="76"/>
        <v>0</v>
      </c>
      <c r="S82" s="130">
        <f t="shared" si="77"/>
        <v>0</v>
      </c>
      <c r="T82" s="136"/>
      <c r="U82" s="152">
        <f t="shared" si="84"/>
        <v>0</v>
      </c>
      <c r="V82" s="152"/>
      <c r="W82" s="152">
        <f t="shared" si="82"/>
        <v>0</v>
      </c>
      <c r="X82" s="152"/>
      <c r="Y82" s="152">
        <f t="shared" si="83"/>
        <v>0</v>
      </c>
      <c r="Z82" s="136"/>
      <c r="AA82" s="136">
        <f t="shared" si="81"/>
        <v>0</v>
      </c>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row>
    <row r="83" spans="1:49" ht="45.6" customHeight="1" thickBot="1" x14ac:dyDescent="0.4">
      <c r="A83" s="110"/>
      <c r="B83" s="140" t="s">
        <v>750</v>
      </c>
      <c r="C83" s="916" t="s">
        <v>1450</v>
      </c>
      <c r="D83" s="144" t="s">
        <v>736</v>
      </c>
      <c r="E83" s="134">
        <v>0.02</v>
      </c>
      <c r="F83" s="135">
        <v>1</v>
      </c>
      <c r="G83" s="130">
        <v>0</v>
      </c>
      <c r="H83" s="130">
        <v>1</v>
      </c>
      <c r="I83" s="136"/>
      <c r="J83" s="136">
        <f t="shared" si="74"/>
        <v>1</v>
      </c>
      <c r="K83" s="136"/>
      <c r="L83" s="136">
        <f t="shared" si="75"/>
        <v>0.02</v>
      </c>
      <c r="M83" s="130"/>
      <c r="N83" s="542">
        <v>0</v>
      </c>
      <c r="O83" s="542">
        <v>0</v>
      </c>
      <c r="P83" s="542">
        <v>0</v>
      </c>
      <c r="Q83" s="130"/>
      <c r="R83" s="130">
        <f t="shared" si="76"/>
        <v>0</v>
      </c>
      <c r="S83" s="130">
        <f t="shared" si="77"/>
        <v>0</v>
      </c>
      <c r="T83" s="136"/>
      <c r="U83" s="152">
        <f t="shared" si="84"/>
        <v>0</v>
      </c>
      <c r="V83" s="152"/>
      <c r="W83" s="152">
        <f>+U83*E83</f>
        <v>0</v>
      </c>
      <c r="X83" s="152"/>
      <c r="Y83" s="152">
        <f t="shared" si="83"/>
        <v>0</v>
      </c>
      <c r="Z83" s="136"/>
      <c r="AA83" s="136">
        <f t="shared" si="81"/>
        <v>0</v>
      </c>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row>
    <row r="84" spans="1:49" ht="36.6" thickBot="1" x14ac:dyDescent="0.4">
      <c r="A84" s="110"/>
      <c r="B84" s="140" t="s">
        <v>751</v>
      </c>
      <c r="C84" s="916" t="s">
        <v>1451</v>
      </c>
      <c r="D84" s="144" t="s">
        <v>736</v>
      </c>
      <c r="E84" s="134">
        <v>0.05</v>
      </c>
      <c r="F84" s="135">
        <v>5</v>
      </c>
      <c r="G84" s="130">
        <v>0</v>
      </c>
      <c r="H84" s="130">
        <v>3</v>
      </c>
      <c r="I84" s="136"/>
      <c r="J84" s="136">
        <f t="shared" si="74"/>
        <v>0.6</v>
      </c>
      <c r="K84" s="136"/>
      <c r="L84" s="136">
        <f t="shared" si="75"/>
        <v>0.03</v>
      </c>
      <c r="M84" s="130"/>
      <c r="N84" s="542">
        <v>0</v>
      </c>
      <c r="O84" s="542">
        <v>1</v>
      </c>
      <c r="P84" s="542">
        <v>1</v>
      </c>
      <c r="Q84" s="130"/>
      <c r="R84" s="130">
        <f t="shared" si="76"/>
        <v>2</v>
      </c>
      <c r="S84" s="130">
        <f t="shared" si="77"/>
        <v>2</v>
      </c>
      <c r="T84" s="136"/>
      <c r="U84" s="152">
        <f>+R84/H84</f>
        <v>0.66666666666666663</v>
      </c>
      <c r="V84" s="152"/>
      <c r="W84" s="152">
        <f>+U84*E84</f>
        <v>3.3333333333333333E-2</v>
      </c>
      <c r="X84" s="152"/>
      <c r="Y84" s="152">
        <f t="shared" si="83"/>
        <v>0.4</v>
      </c>
      <c r="Z84" s="136"/>
      <c r="AA84" s="136">
        <f t="shared" si="81"/>
        <v>2.0000000000000004E-2</v>
      </c>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row>
    <row r="85" spans="1:49" ht="51" customHeight="1" thickBot="1" x14ac:dyDescent="0.4">
      <c r="A85" s="110"/>
      <c r="B85" s="140" t="s">
        <v>752</v>
      </c>
      <c r="C85" s="916" t="s">
        <v>1452</v>
      </c>
      <c r="D85" s="144" t="s">
        <v>736</v>
      </c>
      <c r="E85" s="134">
        <v>0.08</v>
      </c>
      <c r="F85" s="135">
        <v>8</v>
      </c>
      <c r="G85" s="130">
        <v>0</v>
      </c>
      <c r="H85" s="130">
        <v>4</v>
      </c>
      <c r="I85" s="136"/>
      <c r="J85" s="136">
        <f t="shared" si="74"/>
        <v>0.5</v>
      </c>
      <c r="K85" s="136"/>
      <c r="L85" s="136">
        <f t="shared" si="75"/>
        <v>0.04</v>
      </c>
      <c r="M85" s="130"/>
      <c r="N85" s="542">
        <v>0</v>
      </c>
      <c r="O85" s="542">
        <v>0</v>
      </c>
      <c r="P85" s="542">
        <v>1</v>
      </c>
      <c r="Q85" s="130"/>
      <c r="R85" s="130">
        <f t="shared" si="76"/>
        <v>1</v>
      </c>
      <c r="S85" s="130">
        <f t="shared" si="77"/>
        <v>1</v>
      </c>
      <c r="T85" s="136"/>
      <c r="U85" s="152">
        <f t="shared" si="84"/>
        <v>0.25</v>
      </c>
      <c r="V85" s="152"/>
      <c r="W85" s="152">
        <f t="shared" si="82"/>
        <v>0.02</v>
      </c>
      <c r="X85" s="152"/>
      <c r="Y85" s="152">
        <f t="shared" si="83"/>
        <v>0.125</v>
      </c>
      <c r="Z85" s="136"/>
      <c r="AA85" s="136">
        <f t="shared" si="81"/>
        <v>0.01</v>
      </c>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row>
    <row r="86" spans="1:49" ht="28.5" customHeight="1" thickBot="1" x14ac:dyDescent="0.4">
      <c r="A86" s="110"/>
      <c r="B86" s="970" t="s">
        <v>1727</v>
      </c>
      <c r="C86" s="971"/>
      <c r="D86" s="144"/>
      <c r="E86" s="126">
        <v>0.1</v>
      </c>
      <c r="F86" s="146"/>
      <c r="G86" s="123"/>
      <c r="H86" s="123"/>
      <c r="I86" s="129">
        <f>+AVERAGE(I87:I90)</f>
        <v>0.23749999999999999</v>
      </c>
      <c r="J86" s="129">
        <f>+AVERAGE(J87:J90)</f>
        <v>0.23749999999999999</v>
      </c>
      <c r="K86" s="129">
        <f>+K87+K88+K89+K90</f>
        <v>0.23749999999999999</v>
      </c>
      <c r="L86" s="129">
        <f>+L87+L88+L89+L90</f>
        <v>0.23749999999999999</v>
      </c>
      <c r="M86" s="128"/>
      <c r="N86" s="128"/>
      <c r="O86" s="128"/>
      <c r="P86" s="128"/>
      <c r="Q86" s="128"/>
      <c r="R86" s="128"/>
      <c r="S86" s="128"/>
      <c r="T86" s="150">
        <f>+AVERAGE(T87:T90)</f>
        <v>1</v>
      </c>
      <c r="U86" s="150">
        <f>+AVERAGE(U87:U90)</f>
        <v>0.75</v>
      </c>
      <c r="V86" s="150">
        <f>+(V87+V88+V89+V90)*E86</f>
        <v>0.1</v>
      </c>
      <c r="W86" s="150">
        <f>+(W87+W88+W89+W90)*E86</f>
        <v>8.0000000000000016E-2</v>
      </c>
      <c r="X86" s="129">
        <f>+AVERAGE(X87:X90)</f>
        <v>0.51249999999999996</v>
      </c>
      <c r="Y86" s="129">
        <f>+AVERAGE(Y87:Y90)</f>
        <v>0.6875</v>
      </c>
      <c r="Z86" s="129">
        <f>+(Z87+Z88+Z89+Z90)*E86</f>
        <v>4.3750000000000004E-2</v>
      </c>
      <c r="AA86" s="129">
        <f>+(AA87+AA88+AA89+AA90)</f>
        <v>0.625</v>
      </c>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row>
    <row r="87" spans="1:49" ht="111" customHeight="1" thickBot="1" x14ac:dyDescent="0.4">
      <c r="A87" s="110"/>
      <c r="B87" s="140" t="s">
        <v>753</v>
      </c>
      <c r="C87" s="916" t="s">
        <v>1453</v>
      </c>
      <c r="D87" s="144" t="s">
        <v>754</v>
      </c>
      <c r="E87" s="134">
        <v>0.2</v>
      </c>
      <c r="F87" s="135">
        <v>4</v>
      </c>
      <c r="G87" s="130">
        <v>1</v>
      </c>
      <c r="H87" s="130">
        <v>1</v>
      </c>
      <c r="I87" s="136">
        <f>+G87/F87</f>
        <v>0.25</v>
      </c>
      <c r="J87" s="136">
        <f t="shared" si="74"/>
        <v>0.25</v>
      </c>
      <c r="K87" s="136">
        <f>+(G87/F87)*E87</f>
        <v>0.05</v>
      </c>
      <c r="L87" s="136">
        <f t="shared" si="75"/>
        <v>0.05</v>
      </c>
      <c r="M87" s="130">
        <v>1</v>
      </c>
      <c r="N87" s="542">
        <v>0</v>
      </c>
      <c r="O87" s="542"/>
      <c r="P87" s="542">
        <v>0</v>
      </c>
      <c r="Q87" s="130"/>
      <c r="R87" s="130">
        <f t="shared" si="76"/>
        <v>0</v>
      </c>
      <c r="S87" s="130">
        <f t="shared" si="77"/>
        <v>1</v>
      </c>
      <c r="T87" s="152">
        <f>+(M87/G87)</f>
        <v>1</v>
      </c>
      <c r="U87" s="152">
        <f t="shared" si="84"/>
        <v>0</v>
      </c>
      <c r="V87" s="152">
        <f>+T87*E87</f>
        <v>0.2</v>
      </c>
      <c r="W87" s="152">
        <f t="shared" si="82"/>
        <v>0</v>
      </c>
      <c r="X87" s="152">
        <f>+M87/F87</f>
        <v>0.25</v>
      </c>
      <c r="Y87" s="152">
        <f t="shared" si="83"/>
        <v>0.25</v>
      </c>
      <c r="Z87" s="152">
        <f>+X87*E87</f>
        <v>0.05</v>
      </c>
      <c r="AA87" s="152">
        <f>+Y87*E87</f>
        <v>0.05</v>
      </c>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row>
    <row r="88" spans="1:49" ht="117.6" customHeight="1" thickBot="1" x14ac:dyDescent="0.4">
      <c r="A88" s="110"/>
      <c r="B88" s="140" t="s">
        <v>755</v>
      </c>
      <c r="C88" s="916" t="s">
        <v>1454</v>
      </c>
      <c r="D88" s="144" t="s">
        <v>754</v>
      </c>
      <c r="E88" s="134">
        <v>0.45</v>
      </c>
      <c r="F88" s="135">
        <v>60</v>
      </c>
      <c r="G88" s="130">
        <v>15</v>
      </c>
      <c r="H88" s="130">
        <v>15</v>
      </c>
      <c r="I88" s="136">
        <f>+G88/F88</f>
        <v>0.25</v>
      </c>
      <c r="J88" s="136">
        <f t="shared" si="74"/>
        <v>0.25</v>
      </c>
      <c r="K88" s="136">
        <f>+(G88/F88)*E88</f>
        <v>0.1125</v>
      </c>
      <c r="L88" s="136">
        <f t="shared" si="75"/>
        <v>0.1125</v>
      </c>
      <c r="M88" s="130">
        <v>15</v>
      </c>
      <c r="N88" s="542">
        <v>0</v>
      </c>
      <c r="O88" s="542">
        <v>15</v>
      </c>
      <c r="P88" s="542">
        <v>0</v>
      </c>
      <c r="Q88" s="130"/>
      <c r="R88" s="130">
        <f t="shared" si="76"/>
        <v>15</v>
      </c>
      <c r="S88" s="130">
        <f t="shared" si="77"/>
        <v>30</v>
      </c>
      <c r="T88" s="152">
        <f>+(M88/G88)</f>
        <v>1</v>
      </c>
      <c r="U88" s="152">
        <f t="shared" si="84"/>
        <v>1</v>
      </c>
      <c r="V88" s="152">
        <f>+T88*E88</f>
        <v>0.45</v>
      </c>
      <c r="W88" s="152">
        <f t="shared" si="82"/>
        <v>0.45</v>
      </c>
      <c r="X88" s="152">
        <f>+M88/F88</f>
        <v>0.25</v>
      </c>
      <c r="Y88" s="152">
        <f>+S88/F88</f>
        <v>0.5</v>
      </c>
      <c r="Z88" s="152">
        <f>+X88*E88</f>
        <v>0.1125</v>
      </c>
      <c r="AA88" s="152">
        <f>+Y88*E88</f>
        <v>0.22500000000000001</v>
      </c>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row>
    <row r="89" spans="1:49" ht="108.6" customHeight="1" thickBot="1" x14ac:dyDescent="0.4">
      <c r="A89" s="110"/>
      <c r="B89" s="140" t="s">
        <v>756</v>
      </c>
      <c r="C89" s="916" t="s">
        <v>1455</v>
      </c>
      <c r="D89" s="144" t="s">
        <v>754</v>
      </c>
      <c r="E89" s="134">
        <v>0.1</v>
      </c>
      <c r="F89" s="135">
        <v>4</v>
      </c>
      <c r="G89" s="130">
        <v>1</v>
      </c>
      <c r="H89" s="130">
        <v>1</v>
      </c>
      <c r="I89" s="136">
        <f>+G89/F89</f>
        <v>0.25</v>
      </c>
      <c r="J89" s="136">
        <f t="shared" si="74"/>
        <v>0.25</v>
      </c>
      <c r="K89" s="136">
        <f>+(G89/F89)*E89</f>
        <v>2.5000000000000001E-2</v>
      </c>
      <c r="L89" s="136">
        <f>+(H89/F89)*E89</f>
        <v>2.5000000000000001E-2</v>
      </c>
      <c r="M89" s="130">
        <v>3</v>
      </c>
      <c r="N89" s="542">
        <v>0</v>
      </c>
      <c r="O89" s="542">
        <v>1</v>
      </c>
      <c r="P89" s="542">
        <v>0</v>
      </c>
      <c r="Q89" s="130"/>
      <c r="R89" s="130">
        <f t="shared" si="76"/>
        <v>1</v>
      </c>
      <c r="S89" s="130">
        <f t="shared" si="77"/>
        <v>4</v>
      </c>
      <c r="T89" s="152">
        <v>1</v>
      </c>
      <c r="U89" s="152">
        <f t="shared" si="84"/>
        <v>1</v>
      </c>
      <c r="V89" s="152">
        <f>+T89*E89</f>
        <v>0.1</v>
      </c>
      <c r="W89" s="152">
        <f t="shared" si="82"/>
        <v>0.1</v>
      </c>
      <c r="X89" s="152">
        <f>+M89/F89</f>
        <v>0.75</v>
      </c>
      <c r="Y89" s="152">
        <f t="shared" si="83"/>
        <v>1</v>
      </c>
      <c r="Z89" s="152">
        <f>+X89*E89</f>
        <v>7.5000000000000011E-2</v>
      </c>
      <c r="AA89" s="152">
        <f>+Y89*E89</f>
        <v>0.1</v>
      </c>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row>
    <row r="90" spans="1:49" ht="66.599999999999994" customHeight="1" thickBot="1" x14ac:dyDescent="0.4">
      <c r="A90" s="110"/>
      <c r="B90" s="800" t="s">
        <v>757</v>
      </c>
      <c r="C90" s="802" t="s">
        <v>1456</v>
      </c>
      <c r="D90" s="144" t="s">
        <v>754</v>
      </c>
      <c r="E90" s="134">
        <v>0.25</v>
      </c>
      <c r="F90" s="135">
        <v>5</v>
      </c>
      <c r="G90" s="130">
        <v>1</v>
      </c>
      <c r="H90" s="130">
        <v>1</v>
      </c>
      <c r="I90" s="136">
        <f>+G90/F90</f>
        <v>0.2</v>
      </c>
      <c r="J90" s="136">
        <f t="shared" si="74"/>
        <v>0.2</v>
      </c>
      <c r="K90" s="136">
        <f>+(G90/F90)*E90</f>
        <v>0.05</v>
      </c>
      <c r="L90" s="136">
        <f t="shared" si="75"/>
        <v>0.05</v>
      </c>
      <c r="M90" s="130">
        <v>4</v>
      </c>
      <c r="N90" s="542">
        <v>0</v>
      </c>
      <c r="O90" s="542">
        <v>1</v>
      </c>
      <c r="P90" s="542">
        <v>0</v>
      </c>
      <c r="Q90" s="130"/>
      <c r="R90" s="130">
        <f t="shared" si="76"/>
        <v>1</v>
      </c>
      <c r="S90" s="130">
        <f t="shared" si="77"/>
        <v>5</v>
      </c>
      <c r="T90" s="152">
        <v>1</v>
      </c>
      <c r="U90" s="152">
        <f t="shared" si="84"/>
        <v>1</v>
      </c>
      <c r="V90" s="152">
        <f>+T90*E90</f>
        <v>0.25</v>
      </c>
      <c r="W90" s="152">
        <f t="shared" si="82"/>
        <v>0.25</v>
      </c>
      <c r="X90" s="152">
        <f>+M90/F90</f>
        <v>0.8</v>
      </c>
      <c r="Y90" s="152">
        <f t="shared" si="83"/>
        <v>1</v>
      </c>
      <c r="Z90" s="152">
        <f>+X90*E90</f>
        <v>0.2</v>
      </c>
      <c r="AA90" s="152">
        <f>+Y90*E90</f>
        <v>0.25</v>
      </c>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row>
    <row r="91" spans="1:49" ht="57" customHeight="1" thickBot="1" x14ac:dyDescent="0.4">
      <c r="A91" s="110"/>
      <c r="B91" s="970" t="s">
        <v>1645</v>
      </c>
      <c r="C91" s="971"/>
      <c r="D91" s="144"/>
      <c r="E91" s="126">
        <v>0.3</v>
      </c>
      <c r="F91" s="146"/>
      <c r="G91" s="123"/>
      <c r="H91" s="123"/>
      <c r="I91" s="129"/>
      <c r="J91" s="129">
        <f>+AVERAGE(J92:J95)</f>
        <v>0.36958333333333332</v>
      </c>
      <c r="K91" s="129"/>
      <c r="L91" s="129">
        <f>+L92+L93+L94+L95</f>
        <v>0.33691666666666664</v>
      </c>
      <c r="M91" s="128"/>
      <c r="N91" s="128"/>
      <c r="O91" s="128"/>
      <c r="P91" s="128"/>
      <c r="Q91" s="128"/>
      <c r="R91" s="128"/>
      <c r="S91" s="128"/>
      <c r="T91" s="150"/>
      <c r="U91" s="150">
        <f>+AVERAGE(U92:U95)</f>
        <v>0.27916666666666667</v>
      </c>
      <c r="V91" s="150"/>
      <c r="W91" s="150">
        <f>+(W92+W93+W94+W95)*E91</f>
        <v>3.2500000000000001E-2</v>
      </c>
      <c r="X91" s="129"/>
      <c r="Y91" s="129">
        <f>+AVERAGE(Y92:Y95)</f>
        <v>0.13472222222222222</v>
      </c>
      <c r="Z91" s="129"/>
      <c r="AA91" s="129">
        <f>+(AA92+AA93+AA94+AA95)</f>
        <v>4.4444444444444446E-2</v>
      </c>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row>
    <row r="92" spans="1:49" ht="114.6" customHeight="1" thickBot="1" x14ac:dyDescent="0.4">
      <c r="A92" s="110"/>
      <c r="B92" s="140" t="s">
        <v>758</v>
      </c>
      <c r="C92" s="916" t="s">
        <v>1457</v>
      </c>
      <c r="D92" s="163" t="s">
        <v>759</v>
      </c>
      <c r="E92" s="134">
        <v>0.5</v>
      </c>
      <c r="F92" s="135">
        <v>9</v>
      </c>
      <c r="G92" s="130">
        <v>0</v>
      </c>
      <c r="H92" s="130">
        <v>3</v>
      </c>
      <c r="I92" s="136"/>
      <c r="J92" s="136">
        <f t="shared" si="74"/>
        <v>0.33333333333333331</v>
      </c>
      <c r="K92" s="136"/>
      <c r="L92" s="136">
        <f t="shared" si="75"/>
        <v>0.16666666666666666</v>
      </c>
      <c r="M92" s="130"/>
      <c r="N92" s="542">
        <v>0</v>
      </c>
      <c r="O92" s="542">
        <v>0.35</v>
      </c>
      <c r="P92" s="542">
        <v>0</v>
      </c>
      <c r="Q92" s="130"/>
      <c r="R92" s="130">
        <f t="shared" si="76"/>
        <v>0.35</v>
      </c>
      <c r="S92" s="130">
        <f t="shared" si="77"/>
        <v>0.35</v>
      </c>
      <c r="T92" s="152"/>
      <c r="U92" s="152">
        <f t="shared" si="84"/>
        <v>0.11666666666666665</v>
      </c>
      <c r="V92" s="152"/>
      <c r="W92" s="152">
        <f t="shared" si="82"/>
        <v>5.8333333333333327E-2</v>
      </c>
      <c r="X92" s="152"/>
      <c r="Y92" s="152">
        <f t="shared" si="83"/>
        <v>3.888888888888889E-2</v>
      </c>
      <c r="Z92" s="152"/>
      <c r="AA92" s="152">
        <f>+Y92*E92</f>
        <v>1.9444444444444445E-2</v>
      </c>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row>
    <row r="93" spans="1:49" ht="85.2" customHeight="1" thickBot="1" x14ac:dyDescent="0.4">
      <c r="A93" s="110"/>
      <c r="B93" s="140" t="s">
        <v>760</v>
      </c>
      <c r="C93" s="916" t="s">
        <v>1458</v>
      </c>
      <c r="D93" s="143" t="s">
        <v>736</v>
      </c>
      <c r="E93" s="134">
        <v>0.05</v>
      </c>
      <c r="F93" s="135">
        <v>2</v>
      </c>
      <c r="G93" s="130">
        <v>0</v>
      </c>
      <c r="H93" s="130">
        <v>1</v>
      </c>
      <c r="I93" s="136"/>
      <c r="J93" s="136">
        <f t="shared" si="74"/>
        <v>0.5</v>
      </c>
      <c r="K93" s="136"/>
      <c r="L93" s="136">
        <f>+(H93/F93)*E93</f>
        <v>2.5000000000000001E-2</v>
      </c>
      <c r="M93" s="130"/>
      <c r="N93" s="542">
        <v>0</v>
      </c>
      <c r="O93" s="542">
        <v>0.27</v>
      </c>
      <c r="P93" s="542">
        <v>0.73</v>
      </c>
      <c r="Q93" s="130"/>
      <c r="R93" s="130">
        <f t="shared" si="76"/>
        <v>1</v>
      </c>
      <c r="S93" s="130">
        <f t="shared" si="77"/>
        <v>1</v>
      </c>
      <c r="T93" s="152"/>
      <c r="U93" s="152">
        <f t="shared" si="84"/>
        <v>1</v>
      </c>
      <c r="V93" s="152"/>
      <c r="W93" s="152">
        <f t="shared" si="82"/>
        <v>0.05</v>
      </c>
      <c r="X93" s="152"/>
      <c r="Y93" s="152">
        <f t="shared" si="83"/>
        <v>0.5</v>
      </c>
      <c r="Z93" s="152"/>
      <c r="AA93" s="152">
        <f>+Y93*E93</f>
        <v>2.5000000000000001E-2</v>
      </c>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row>
    <row r="94" spans="1:49" ht="76.95" customHeight="1" thickBot="1" x14ac:dyDescent="0.4">
      <c r="A94" s="110"/>
      <c r="B94" s="140" t="s">
        <v>761</v>
      </c>
      <c r="C94" s="916" t="s">
        <v>1459</v>
      </c>
      <c r="D94" s="144" t="s">
        <v>736</v>
      </c>
      <c r="E94" s="134">
        <v>0.25</v>
      </c>
      <c r="F94" s="135">
        <v>80</v>
      </c>
      <c r="G94" s="130">
        <v>0</v>
      </c>
      <c r="H94" s="130">
        <v>26</v>
      </c>
      <c r="I94" s="136"/>
      <c r="J94" s="136">
        <f t="shared" si="74"/>
        <v>0.32500000000000001</v>
      </c>
      <c r="K94" s="136"/>
      <c r="L94" s="136">
        <f>+(H94/F94)*E94</f>
        <v>8.1250000000000003E-2</v>
      </c>
      <c r="M94" s="130"/>
      <c r="N94" s="542">
        <v>0</v>
      </c>
      <c r="O94" s="542">
        <v>0</v>
      </c>
      <c r="P94" s="542">
        <v>0</v>
      </c>
      <c r="Q94" s="130"/>
      <c r="R94" s="130">
        <f t="shared" si="76"/>
        <v>0</v>
      </c>
      <c r="S94" s="130">
        <f t="shared" si="77"/>
        <v>0</v>
      </c>
      <c r="T94" s="152"/>
      <c r="U94" s="152">
        <f t="shared" si="84"/>
        <v>0</v>
      </c>
      <c r="V94" s="152"/>
      <c r="W94" s="152">
        <f t="shared" si="82"/>
        <v>0</v>
      </c>
      <c r="X94" s="152"/>
      <c r="Y94" s="152">
        <f t="shared" si="83"/>
        <v>0</v>
      </c>
      <c r="Z94" s="152"/>
      <c r="AA94" s="152">
        <f>+Y94*E94</f>
        <v>0</v>
      </c>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row>
    <row r="95" spans="1:49" ht="54.6" thickBot="1" x14ac:dyDescent="0.4">
      <c r="A95" s="110"/>
      <c r="B95" s="925" t="s">
        <v>762</v>
      </c>
      <c r="C95" s="926" t="s">
        <v>1460</v>
      </c>
      <c r="D95" s="153" t="s">
        <v>736</v>
      </c>
      <c r="E95" s="134">
        <v>0.2</v>
      </c>
      <c r="F95" s="135">
        <v>25</v>
      </c>
      <c r="G95" s="130">
        <v>0</v>
      </c>
      <c r="H95" s="130">
        <v>8</v>
      </c>
      <c r="I95" s="136"/>
      <c r="J95" s="136">
        <f t="shared" si="74"/>
        <v>0.32</v>
      </c>
      <c r="K95" s="136"/>
      <c r="L95" s="136">
        <f t="shared" si="75"/>
        <v>6.4000000000000001E-2</v>
      </c>
      <c r="M95" s="130"/>
      <c r="N95" s="542">
        <v>0</v>
      </c>
      <c r="O95" s="542">
        <v>0</v>
      </c>
      <c r="P95" s="542">
        <v>0</v>
      </c>
      <c r="Q95" s="130"/>
      <c r="R95" s="130">
        <f t="shared" si="76"/>
        <v>0</v>
      </c>
      <c r="S95" s="130">
        <f t="shared" si="77"/>
        <v>0</v>
      </c>
      <c r="T95" s="152"/>
      <c r="U95" s="152">
        <f>+R95/H95</f>
        <v>0</v>
      </c>
      <c r="V95" s="152"/>
      <c r="W95" s="152">
        <f t="shared" si="82"/>
        <v>0</v>
      </c>
      <c r="X95" s="152"/>
      <c r="Y95" s="152">
        <f t="shared" si="83"/>
        <v>0</v>
      </c>
      <c r="Z95" s="152"/>
      <c r="AA95" s="152">
        <f>+Y95*E95</f>
        <v>0</v>
      </c>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row>
    <row r="96" spans="1:49" ht="100.5" customHeight="1" thickBot="1" x14ac:dyDescent="0.4">
      <c r="A96" s="110"/>
      <c r="B96" s="978" t="s">
        <v>1646</v>
      </c>
      <c r="C96" s="967"/>
      <c r="D96" s="154"/>
      <c r="E96" s="126">
        <v>0.15</v>
      </c>
      <c r="F96" s="146"/>
      <c r="G96" s="123"/>
      <c r="H96" s="123"/>
      <c r="I96" s="129">
        <f>+AVERAGE(I97:I99)*0.33</f>
        <v>0.33</v>
      </c>
      <c r="J96" s="129">
        <f>+AVERAGE(J97:J99)</f>
        <v>1</v>
      </c>
      <c r="K96" s="129">
        <f>+K97+K98+K99</f>
        <v>0.8</v>
      </c>
      <c r="L96" s="129">
        <f>+L97+L98+L99</f>
        <v>1</v>
      </c>
      <c r="M96" s="128"/>
      <c r="N96" s="128"/>
      <c r="O96" s="128"/>
      <c r="P96" s="128"/>
      <c r="Q96" s="128"/>
      <c r="R96" s="128"/>
      <c r="S96" s="128"/>
      <c r="T96" s="150">
        <f>+AVERAGE(T97:T99)</f>
        <v>1</v>
      </c>
      <c r="U96" s="150">
        <f>+AVERAGE(U97:U99)</f>
        <v>0.56666666666666676</v>
      </c>
      <c r="V96" s="150">
        <f>+(V97+V98+V99)*E96</f>
        <v>0.12</v>
      </c>
      <c r="W96" s="150">
        <f>+(W97+W98+W99)*E96</f>
        <v>0.10275000000000002</v>
      </c>
      <c r="X96" s="129">
        <f>+AVERAGE(X97:X99)</f>
        <v>0.33</v>
      </c>
      <c r="Y96" s="129">
        <f>+AVERAGE(Y97:Y99)</f>
        <v>0.6333333333333333</v>
      </c>
      <c r="Z96" s="129">
        <f>+(Z97+Z98+Z99)*E96</f>
        <v>3.9600000000000003E-2</v>
      </c>
      <c r="AA96" s="129">
        <f>+(AA97+AA98+AA99)</f>
        <v>0.84500000000000008</v>
      </c>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row>
    <row r="97" spans="1:49" ht="91.2" customHeight="1" thickBot="1" x14ac:dyDescent="0.4">
      <c r="A97" s="110"/>
      <c r="B97" s="927" t="s">
        <v>763</v>
      </c>
      <c r="C97" s="928" t="s">
        <v>1461</v>
      </c>
      <c r="D97" s="160" t="s">
        <v>736</v>
      </c>
      <c r="E97" s="134">
        <v>0.8</v>
      </c>
      <c r="F97" s="135">
        <v>1</v>
      </c>
      <c r="G97" s="130">
        <v>1</v>
      </c>
      <c r="H97" s="130">
        <v>1</v>
      </c>
      <c r="I97" s="136">
        <f>+G97/F97</f>
        <v>1</v>
      </c>
      <c r="J97" s="136">
        <f t="shared" ref="J97:J99" si="85">+H97/F97</f>
        <v>1</v>
      </c>
      <c r="K97" s="136">
        <f>+(G97/F97)*E97</f>
        <v>0.8</v>
      </c>
      <c r="L97" s="136">
        <f t="shared" si="75"/>
        <v>0.8</v>
      </c>
      <c r="M97" s="164">
        <v>1</v>
      </c>
      <c r="N97" s="543">
        <v>0</v>
      </c>
      <c r="O97" s="543">
        <v>0.47</v>
      </c>
      <c r="P97" s="543">
        <v>0.33</v>
      </c>
      <c r="Q97" s="164"/>
      <c r="R97" s="164">
        <f t="shared" si="76"/>
        <v>0.8</v>
      </c>
      <c r="S97" s="164">
        <f t="shared" si="77"/>
        <v>1.8</v>
      </c>
      <c r="T97" s="136">
        <f>+(M97/G97)</f>
        <v>1</v>
      </c>
      <c r="U97" s="136">
        <f t="shared" si="84"/>
        <v>0.8</v>
      </c>
      <c r="V97" s="138">
        <f>+T97*E97</f>
        <v>0.8</v>
      </c>
      <c r="W97" s="138">
        <f t="shared" si="82"/>
        <v>0.64000000000000012</v>
      </c>
      <c r="X97" s="136">
        <f>+(M97/F97)*0.33</f>
        <v>0.33</v>
      </c>
      <c r="Y97" s="136">
        <v>1</v>
      </c>
      <c r="Z97" s="136">
        <f>+X97*E97</f>
        <v>0.26400000000000001</v>
      </c>
      <c r="AA97" s="136">
        <f>+Y97*E97</f>
        <v>0.8</v>
      </c>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row>
    <row r="98" spans="1:49" ht="60.6" customHeight="1" thickBot="1" x14ac:dyDescent="0.4">
      <c r="A98" s="110"/>
      <c r="B98" s="929" t="s">
        <v>764</v>
      </c>
      <c r="C98" s="930" t="s">
        <v>1462</v>
      </c>
      <c r="D98" s="154" t="s">
        <v>736</v>
      </c>
      <c r="E98" s="134">
        <v>0.15</v>
      </c>
      <c r="F98" s="135">
        <v>1</v>
      </c>
      <c r="G98" s="130">
        <v>0</v>
      </c>
      <c r="H98" s="130">
        <v>1</v>
      </c>
      <c r="I98" s="136"/>
      <c r="J98" s="136">
        <f t="shared" si="85"/>
        <v>1</v>
      </c>
      <c r="K98" s="136"/>
      <c r="L98" s="136">
        <f>+(H98/F98)*E98</f>
        <v>0.15</v>
      </c>
      <c r="M98" s="130"/>
      <c r="N98" s="542">
        <v>0</v>
      </c>
      <c r="O98" s="542">
        <v>0</v>
      </c>
      <c r="P98" s="542">
        <v>0</v>
      </c>
      <c r="Q98" s="130"/>
      <c r="R98" s="130">
        <f t="shared" si="76"/>
        <v>0</v>
      </c>
      <c r="S98" s="130">
        <f t="shared" si="77"/>
        <v>0</v>
      </c>
      <c r="T98" s="136"/>
      <c r="U98" s="136">
        <f t="shared" si="84"/>
        <v>0</v>
      </c>
      <c r="V98" s="138"/>
      <c r="W98" s="138">
        <f>+U98*E98</f>
        <v>0</v>
      </c>
      <c r="X98" s="136"/>
      <c r="Y98" s="136">
        <f t="shared" si="83"/>
        <v>0</v>
      </c>
      <c r="Z98" s="136"/>
      <c r="AA98" s="136">
        <f t="shared" ref="AA98:AA99" si="86">+Y98*E98</f>
        <v>0</v>
      </c>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row>
    <row r="99" spans="1:49" ht="53.4" customHeight="1" thickBot="1" x14ac:dyDescent="0.4">
      <c r="A99" s="110"/>
      <c r="B99" s="931" t="s">
        <v>765</v>
      </c>
      <c r="C99" s="932" t="s">
        <v>1463</v>
      </c>
      <c r="D99" s="160" t="s">
        <v>736</v>
      </c>
      <c r="E99" s="134">
        <v>0.05</v>
      </c>
      <c r="F99" s="135">
        <v>1</v>
      </c>
      <c r="G99" s="130">
        <v>0</v>
      </c>
      <c r="H99" s="130">
        <v>1</v>
      </c>
      <c r="I99" s="136"/>
      <c r="J99" s="136">
        <f t="shared" si="85"/>
        <v>1</v>
      </c>
      <c r="K99" s="136"/>
      <c r="L99" s="136">
        <f t="shared" si="75"/>
        <v>0.05</v>
      </c>
      <c r="M99" s="130"/>
      <c r="N99" s="542">
        <v>0</v>
      </c>
      <c r="O99" s="130">
        <v>0.4</v>
      </c>
      <c r="P99" s="130">
        <v>0.5</v>
      </c>
      <c r="Q99" s="130"/>
      <c r="R99" s="130">
        <f t="shared" si="76"/>
        <v>0.9</v>
      </c>
      <c r="S99" s="130">
        <f t="shared" si="77"/>
        <v>0.9</v>
      </c>
      <c r="T99" s="136"/>
      <c r="U99" s="136">
        <f t="shared" si="84"/>
        <v>0.9</v>
      </c>
      <c r="V99" s="138"/>
      <c r="W99" s="138">
        <f t="shared" si="82"/>
        <v>4.5000000000000005E-2</v>
      </c>
      <c r="X99" s="136"/>
      <c r="Y99" s="136">
        <f t="shared" si="83"/>
        <v>0.9</v>
      </c>
      <c r="Z99" s="136"/>
      <c r="AA99" s="136">
        <f t="shared" si="86"/>
        <v>4.5000000000000005E-2</v>
      </c>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row>
    <row r="100" spans="1:49" ht="78" customHeight="1" thickBot="1" x14ac:dyDescent="0.4">
      <c r="A100" s="110"/>
      <c r="B100" s="966" t="s">
        <v>1728</v>
      </c>
      <c r="C100" s="967"/>
      <c r="D100" s="154"/>
      <c r="E100" s="118">
        <v>0.1</v>
      </c>
      <c r="F100" s="119">
        <f>+E100*V100</f>
        <v>5.6500000000000009E-2</v>
      </c>
      <c r="G100" s="123"/>
      <c r="H100" s="119">
        <f>+E100*W100</f>
        <v>4.0690970918731521E-2</v>
      </c>
      <c r="I100" s="121">
        <f>+(I101+I107+I117)/3</f>
        <v>0.17360979649420338</v>
      </c>
      <c r="J100" s="121">
        <f>+(J101+J107+J117)/3</f>
        <v>0.38970610582327403</v>
      </c>
      <c r="K100" s="122">
        <f>+(K101+K107+K117)/3</f>
        <v>9.382477763087127E-2</v>
      </c>
      <c r="L100" s="122">
        <f>+(L101+L107+L117)/3</f>
        <v>0.32245386743248144</v>
      </c>
      <c r="M100" s="123"/>
      <c r="N100" s="123"/>
      <c r="O100" s="123"/>
      <c r="P100" s="123"/>
      <c r="Q100" s="123"/>
      <c r="R100" s="123"/>
      <c r="S100" s="123"/>
      <c r="T100" s="121">
        <f>+(T101+T107+T117)/3</f>
        <v>1</v>
      </c>
      <c r="U100" s="121">
        <f>+(U101+U107+U117)/3</f>
        <v>0.44565713605927737</v>
      </c>
      <c r="V100" s="122">
        <f>V101+V107+V117</f>
        <v>0.56500000000000006</v>
      </c>
      <c r="W100" s="122">
        <f>W101+W107+W117</f>
        <v>0.40690970918731517</v>
      </c>
      <c r="X100" s="121">
        <f>(X101+X107+X117)/3</f>
        <v>0.19428158691255218</v>
      </c>
      <c r="Y100" s="121">
        <f>(Y101+Y107+Y117)/3</f>
        <v>0.29018619268508467</v>
      </c>
      <c r="Z100" s="122">
        <f>Z101+Z107+Z117</f>
        <v>0.10879627598215055</v>
      </c>
      <c r="AA100" s="122">
        <f>AA101*E101+AA107*E107+AA117*Y117</f>
        <v>0.27532307419212271</v>
      </c>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row>
    <row r="101" spans="1:49" ht="72" customHeight="1" thickBot="1" x14ac:dyDescent="0.4">
      <c r="A101" s="110"/>
      <c r="B101" s="968" t="s">
        <v>1647</v>
      </c>
      <c r="C101" s="969"/>
      <c r="D101" s="155"/>
      <c r="E101" s="126">
        <v>0.25</v>
      </c>
      <c r="F101" s="146"/>
      <c r="G101" s="130"/>
      <c r="H101" s="130"/>
      <c r="I101" s="129">
        <f>+AVERAGE(I102:I106)</f>
        <v>0.17798528579513301</v>
      </c>
      <c r="J101" s="129">
        <f>+AVERAGE(J102:J106)</f>
        <v>0.28952461799660439</v>
      </c>
      <c r="K101" s="129">
        <f>+K102+K103+K104+K105+K106</f>
        <v>0.17798528579513301</v>
      </c>
      <c r="L101" s="129">
        <f>+L102+L103+L104+L105+L106</f>
        <v>0.28952461799660439</v>
      </c>
      <c r="M101" s="130"/>
      <c r="N101" s="130"/>
      <c r="O101" s="130"/>
      <c r="P101" s="130"/>
      <c r="Q101" s="130"/>
      <c r="R101" s="130"/>
      <c r="S101" s="130"/>
      <c r="T101" s="150">
        <f>+AVERAGE(T102:T106)</f>
        <v>1</v>
      </c>
      <c r="U101" s="150">
        <f>+AVERAGE(U102:U106)</f>
        <v>0.76002855103497502</v>
      </c>
      <c r="V101" s="150">
        <f>+(V102+V103+V104+V105+V106)*E101</f>
        <v>0.25</v>
      </c>
      <c r="W101" s="150">
        <f>+(W102+W103+W104+W105+W106)*E101</f>
        <v>0.19000713775874378</v>
      </c>
      <c r="X101" s="129">
        <f>+AVERAGE(X102:X106)</f>
        <v>0.17866440294284094</v>
      </c>
      <c r="Y101" s="129">
        <f>+AVERAGE(Y102:Y106)</f>
        <v>0.40000565930956428</v>
      </c>
      <c r="Z101" s="129">
        <f>+(Z102+Z103+Z104+Z105+Z106)*E101</f>
        <v>4.4666100735710243E-2</v>
      </c>
      <c r="AA101" s="129">
        <f>+(AA102+AA103+AA104+AA105+AA106)</f>
        <v>0.40000565930956422</v>
      </c>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row>
    <row r="102" spans="1:49" ht="53.4" customHeight="1" thickBot="1" x14ac:dyDescent="0.4">
      <c r="A102" s="110"/>
      <c r="B102" s="917" t="s">
        <v>766</v>
      </c>
      <c r="C102" s="918" t="s">
        <v>1464</v>
      </c>
      <c r="D102" s="157" t="s">
        <v>767</v>
      </c>
      <c r="E102" s="134">
        <v>0.2</v>
      </c>
      <c r="F102" s="135">
        <v>10</v>
      </c>
      <c r="G102" s="130">
        <v>1</v>
      </c>
      <c r="H102" s="130">
        <v>3</v>
      </c>
      <c r="I102" s="136">
        <f>+G102/F102</f>
        <v>0.1</v>
      </c>
      <c r="J102" s="136">
        <f t="shared" ref="J102:J106" si="87">+H102/F102</f>
        <v>0.3</v>
      </c>
      <c r="K102" s="136">
        <f>+(G102/F102)*E102</f>
        <v>2.0000000000000004E-2</v>
      </c>
      <c r="L102" s="136">
        <f t="shared" ref="L102:L106" si="88">+(H102/F102)*E102</f>
        <v>0.06</v>
      </c>
      <c r="M102" s="130">
        <v>1</v>
      </c>
      <c r="N102" s="542">
        <v>0</v>
      </c>
      <c r="O102" s="542">
        <v>1</v>
      </c>
      <c r="P102" s="542">
        <v>0</v>
      </c>
      <c r="Q102" s="130"/>
      <c r="R102" s="130">
        <f t="shared" ref="R102:R123" si="89">+N102+O102+P102+Q102</f>
        <v>1</v>
      </c>
      <c r="S102" s="130">
        <f t="shared" ref="S102:S123" si="90">+R102+M102</f>
        <v>2</v>
      </c>
      <c r="T102" s="136">
        <f>+(M102/G102)</f>
        <v>1</v>
      </c>
      <c r="U102" s="136">
        <f t="shared" ref="U102:U104" si="91">+R102/H102</f>
        <v>0.33333333333333331</v>
      </c>
      <c r="V102" s="136">
        <f>+T102*E102</f>
        <v>0.2</v>
      </c>
      <c r="W102" s="136">
        <f t="shared" ref="W102:W106" si="92">+U102*E102</f>
        <v>6.6666666666666666E-2</v>
      </c>
      <c r="X102" s="136">
        <f>+M102/F102</f>
        <v>0.1</v>
      </c>
      <c r="Y102" s="136">
        <f t="shared" ref="Y102:Y106" si="93">+S102/F102</f>
        <v>0.2</v>
      </c>
      <c r="Z102" s="136">
        <f>+X102*E102</f>
        <v>2.0000000000000004E-2</v>
      </c>
      <c r="AA102" s="136">
        <f>+Y102*E102</f>
        <v>4.0000000000000008E-2</v>
      </c>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row>
    <row r="103" spans="1:49" ht="66.599999999999994" customHeight="1" thickBot="1" x14ac:dyDescent="0.4">
      <c r="A103" s="110"/>
      <c r="B103" s="923" t="s">
        <v>768</v>
      </c>
      <c r="C103" s="924" t="s">
        <v>1465</v>
      </c>
      <c r="D103" s="154" t="s">
        <v>767</v>
      </c>
      <c r="E103" s="134">
        <v>0.2</v>
      </c>
      <c r="F103" s="135">
        <v>1767</v>
      </c>
      <c r="G103" s="130">
        <v>100</v>
      </c>
      <c r="H103" s="130">
        <v>467</v>
      </c>
      <c r="I103" s="136">
        <f>+G103/F103</f>
        <v>5.6593095642331635E-2</v>
      </c>
      <c r="J103" s="136">
        <f t="shared" si="87"/>
        <v>0.26428975664968873</v>
      </c>
      <c r="K103" s="136">
        <f>+(G103/F103)*E103</f>
        <v>1.1318619128466328E-2</v>
      </c>
      <c r="L103" s="136">
        <f t="shared" si="88"/>
        <v>5.2857951329937751E-2</v>
      </c>
      <c r="M103" s="130">
        <v>106</v>
      </c>
      <c r="N103" s="542">
        <v>78</v>
      </c>
      <c r="O103" s="542">
        <v>140</v>
      </c>
      <c r="P103" s="542">
        <v>0</v>
      </c>
      <c r="Q103" s="130"/>
      <c r="R103" s="130">
        <f t="shared" si="89"/>
        <v>218</v>
      </c>
      <c r="S103" s="130">
        <f t="shared" si="90"/>
        <v>324</v>
      </c>
      <c r="T103" s="136">
        <v>1</v>
      </c>
      <c r="U103" s="136">
        <f t="shared" si="91"/>
        <v>0.46680942184154178</v>
      </c>
      <c r="V103" s="136">
        <f>+T103*E103</f>
        <v>0.2</v>
      </c>
      <c r="W103" s="136">
        <f t="shared" si="92"/>
        <v>9.3361884368308362E-2</v>
      </c>
      <c r="X103" s="136">
        <f>+M103/F103</f>
        <v>5.9988681380871531E-2</v>
      </c>
      <c r="Y103" s="136">
        <f t="shared" si="93"/>
        <v>0.18336162988115451</v>
      </c>
      <c r="Z103" s="136">
        <f>+X103*E103</f>
        <v>1.1997736276174308E-2</v>
      </c>
      <c r="AA103" s="136">
        <f>+Y103*E103</f>
        <v>3.66723259762309E-2</v>
      </c>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row>
    <row r="104" spans="1:49" ht="65.400000000000006" customHeight="1" thickBot="1" x14ac:dyDescent="0.4">
      <c r="A104" s="110"/>
      <c r="B104" s="923" t="s">
        <v>769</v>
      </c>
      <c r="C104" s="924" t="s">
        <v>1466</v>
      </c>
      <c r="D104" s="154" t="s">
        <v>767</v>
      </c>
      <c r="E104" s="134">
        <v>0.2</v>
      </c>
      <c r="F104" s="135">
        <v>200</v>
      </c>
      <c r="G104" s="130">
        <v>20</v>
      </c>
      <c r="H104" s="130">
        <v>60</v>
      </c>
      <c r="I104" s="136">
        <f>+G104/F104</f>
        <v>0.1</v>
      </c>
      <c r="J104" s="136">
        <f t="shared" si="87"/>
        <v>0.3</v>
      </c>
      <c r="K104" s="136">
        <f>+(G104/F104)*E104</f>
        <v>2.0000000000000004E-2</v>
      </c>
      <c r="L104" s="136">
        <f t="shared" si="88"/>
        <v>0.06</v>
      </c>
      <c r="M104" s="130">
        <v>20</v>
      </c>
      <c r="N104" s="542">
        <v>33</v>
      </c>
      <c r="O104" s="542">
        <v>27</v>
      </c>
      <c r="P104" s="542">
        <v>0</v>
      </c>
      <c r="Q104" s="130"/>
      <c r="R104" s="130">
        <f t="shared" si="89"/>
        <v>60</v>
      </c>
      <c r="S104" s="130">
        <f t="shared" si="90"/>
        <v>80</v>
      </c>
      <c r="T104" s="136">
        <f>+(M104/G104)</f>
        <v>1</v>
      </c>
      <c r="U104" s="136">
        <f t="shared" si="91"/>
        <v>1</v>
      </c>
      <c r="V104" s="136">
        <f>+T104*E104</f>
        <v>0.2</v>
      </c>
      <c r="W104" s="136">
        <f t="shared" si="92"/>
        <v>0.2</v>
      </c>
      <c r="X104" s="136">
        <f>+M104/F104</f>
        <v>0.1</v>
      </c>
      <c r="Y104" s="136">
        <f t="shared" si="93"/>
        <v>0.4</v>
      </c>
      <c r="Z104" s="136">
        <f>+X104*E104</f>
        <v>2.0000000000000004E-2</v>
      </c>
      <c r="AA104" s="136">
        <f>+Y104*E104</f>
        <v>8.0000000000000016E-2</v>
      </c>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row>
    <row r="105" spans="1:49" ht="51" customHeight="1" thickBot="1" x14ac:dyDescent="0.4">
      <c r="A105" s="110"/>
      <c r="B105" s="933" t="s">
        <v>770</v>
      </c>
      <c r="C105" s="934" t="s">
        <v>1467</v>
      </c>
      <c r="D105" s="155" t="s">
        <v>767</v>
      </c>
      <c r="E105" s="134">
        <v>0.2</v>
      </c>
      <c r="F105" s="135">
        <v>100</v>
      </c>
      <c r="G105" s="130">
        <v>30</v>
      </c>
      <c r="H105" s="130">
        <v>25</v>
      </c>
      <c r="I105" s="136">
        <f>+G105/F105</f>
        <v>0.3</v>
      </c>
      <c r="J105" s="136">
        <f t="shared" si="87"/>
        <v>0.25</v>
      </c>
      <c r="K105" s="136">
        <f>+(G105/F105)*E105</f>
        <v>0.06</v>
      </c>
      <c r="L105" s="136">
        <f t="shared" si="88"/>
        <v>0.05</v>
      </c>
      <c r="M105" s="130">
        <v>30</v>
      </c>
      <c r="N105" s="542">
        <v>10</v>
      </c>
      <c r="O105" s="542">
        <v>15</v>
      </c>
      <c r="P105" s="542">
        <v>0</v>
      </c>
      <c r="Q105" s="130"/>
      <c r="R105" s="130">
        <f t="shared" si="89"/>
        <v>25</v>
      </c>
      <c r="S105" s="130">
        <f t="shared" si="90"/>
        <v>55</v>
      </c>
      <c r="T105" s="136">
        <f>+(M105/G105)</f>
        <v>1</v>
      </c>
      <c r="U105" s="136">
        <v>1</v>
      </c>
      <c r="V105" s="136">
        <f>+T105*E105</f>
        <v>0.2</v>
      </c>
      <c r="W105" s="136">
        <f t="shared" si="92"/>
        <v>0.2</v>
      </c>
      <c r="X105" s="136">
        <f>+M105/F105</f>
        <v>0.3</v>
      </c>
      <c r="Y105" s="136">
        <f t="shared" si="93"/>
        <v>0.55000000000000004</v>
      </c>
      <c r="Z105" s="136">
        <f>+X105*E105</f>
        <v>0.06</v>
      </c>
      <c r="AA105" s="136">
        <f>+Y105*E105</f>
        <v>0.11000000000000001</v>
      </c>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row>
    <row r="106" spans="1:49" ht="78" customHeight="1" thickBot="1" x14ac:dyDescent="0.4">
      <c r="A106" s="110"/>
      <c r="B106" s="917" t="s">
        <v>771</v>
      </c>
      <c r="C106" s="918" t="s">
        <v>1468</v>
      </c>
      <c r="D106" s="157" t="s">
        <v>767</v>
      </c>
      <c r="E106" s="134">
        <v>0.2</v>
      </c>
      <c r="F106" s="135">
        <v>3</v>
      </c>
      <c r="G106" s="130">
        <v>1</v>
      </c>
      <c r="H106" s="130">
        <v>1</v>
      </c>
      <c r="I106" s="136">
        <f>+G106/F106</f>
        <v>0.33333333333333331</v>
      </c>
      <c r="J106" s="136">
        <f t="shared" si="87"/>
        <v>0.33333333333333331</v>
      </c>
      <c r="K106" s="136">
        <f>+(G106/F106)*E106</f>
        <v>6.6666666666666666E-2</v>
      </c>
      <c r="L106" s="136">
        <f t="shared" si="88"/>
        <v>6.6666666666666666E-2</v>
      </c>
      <c r="M106" s="130">
        <v>1</v>
      </c>
      <c r="N106" s="542">
        <v>1</v>
      </c>
      <c r="O106" s="542">
        <v>0</v>
      </c>
      <c r="P106" s="542">
        <v>0</v>
      </c>
      <c r="Q106" s="130"/>
      <c r="R106" s="130">
        <f t="shared" si="89"/>
        <v>1</v>
      </c>
      <c r="S106" s="130">
        <f t="shared" si="90"/>
        <v>2</v>
      </c>
      <c r="T106" s="136">
        <f>+(M106/G106)</f>
        <v>1</v>
      </c>
      <c r="U106" s="136">
        <v>1</v>
      </c>
      <c r="V106" s="136">
        <f>+T106*E106</f>
        <v>0.2</v>
      </c>
      <c r="W106" s="136">
        <f t="shared" si="92"/>
        <v>0.2</v>
      </c>
      <c r="X106" s="136">
        <f>+M106/F106</f>
        <v>0.33333333333333331</v>
      </c>
      <c r="Y106" s="136">
        <f t="shared" si="93"/>
        <v>0.66666666666666663</v>
      </c>
      <c r="Z106" s="136">
        <f>+X106*E106</f>
        <v>6.6666666666666666E-2</v>
      </c>
      <c r="AA106" s="136">
        <f>+Y106*E106</f>
        <v>0.13333333333333333</v>
      </c>
      <c r="AB106" s="106"/>
      <c r="AC106" s="106"/>
      <c r="AD106" s="106"/>
      <c r="AE106" s="106"/>
      <c r="AF106" s="106"/>
      <c r="AG106" s="106"/>
      <c r="AH106" s="106"/>
      <c r="AI106" s="106"/>
      <c r="AJ106" s="106"/>
      <c r="AK106" s="106"/>
      <c r="AL106" s="106"/>
      <c r="AM106" s="106"/>
      <c r="AN106" s="106"/>
      <c r="AO106" s="106"/>
      <c r="AP106" s="106"/>
      <c r="AQ106" s="106"/>
      <c r="AR106" s="106"/>
      <c r="AS106" s="106"/>
      <c r="AT106" s="106"/>
      <c r="AU106" s="106"/>
      <c r="AV106" s="106"/>
      <c r="AW106" s="106"/>
    </row>
    <row r="107" spans="1:49" ht="129" customHeight="1" thickBot="1" x14ac:dyDescent="0.4">
      <c r="A107" s="110"/>
      <c r="B107" s="978" t="s">
        <v>1648</v>
      </c>
      <c r="C107" s="967"/>
      <c r="D107" s="154"/>
      <c r="E107" s="126">
        <v>0.45</v>
      </c>
      <c r="F107" s="146"/>
      <c r="G107" s="130"/>
      <c r="H107" s="130"/>
      <c r="I107" s="129">
        <f>+AVERAGE(I108:I116)</f>
        <v>9.2844103687477184E-2</v>
      </c>
      <c r="J107" s="129">
        <f>+AVERAGE(J108:J116)</f>
        <v>0.32959369947321754</v>
      </c>
      <c r="K107" s="129">
        <f>+K108+K109+K110+K111+K112+K113+K114+K115+K116</f>
        <v>6.5989047097480838E-2</v>
      </c>
      <c r="L107" s="129">
        <f>+L108+L109+L110+L111+L112+L113+L114+L115+L116</f>
        <v>0.26533698430083974</v>
      </c>
      <c r="M107" s="130"/>
      <c r="N107" s="130"/>
      <c r="O107" s="130"/>
      <c r="P107" s="130"/>
      <c r="Q107" s="130"/>
      <c r="R107" s="130"/>
      <c r="S107" s="130"/>
      <c r="T107" s="150">
        <f>+AVERAGE(T108:T116)</f>
        <v>1</v>
      </c>
      <c r="U107" s="150">
        <f>+AVERAGE(U108:U116)</f>
        <v>0.37694285714285714</v>
      </c>
      <c r="V107" s="150">
        <f>+(V108+V109+V110+V111+V112+V113+V114+V115+V116)*E107</f>
        <v>0.27000000000000007</v>
      </c>
      <c r="W107" s="150">
        <f>+(W108+W109+W110+W111+W112+W113+W114+W115+W116)*E107</f>
        <v>0.12690257142857145</v>
      </c>
      <c r="X107" s="129">
        <f>+AVERAGE(X108:X116)</f>
        <v>0.15418035779481562</v>
      </c>
      <c r="Y107" s="129">
        <f>+X107+((Y109-X109)/9)+((Y111-X111)/9)+((Y114-X114)/9)+((Y112-X112)/9)</f>
        <v>0.2205529187456898</v>
      </c>
      <c r="Z107" s="129">
        <f>+(Z108+Z109+Z110+Z111+Z112+Z113+Z114+Z115+Z116)*E107</f>
        <v>5.2880175246440314E-2</v>
      </c>
      <c r="AA107" s="129">
        <f>+(AA108+AA109+AA110+AA111+AA112+AA113+AA114+AA115+AA116)</f>
        <v>0.20210368747718147</v>
      </c>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row>
    <row r="108" spans="1:49" ht="92.4" customHeight="1" thickBot="1" x14ac:dyDescent="0.4">
      <c r="A108" s="110"/>
      <c r="B108" s="933" t="s">
        <v>772</v>
      </c>
      <c r="C108" s="934" t="s">
        <v>1469</v>
      </c>
      <c r="D108" s="162" t="s">
        <v>767</v>
      </c>
      <c r="E108" s="134">
        <v>0.05</v>
      </c>
      <c r="F108" s="135">
        <v>1</v>
      </c>
      <c r="G108" s="130">
        <v>0</v>
      </c>
      <c r="H108" s="130">
        <v>1</v>
      </c>
      <c r="I108" s="136"/>
      <c r="J108" s="136">
        <f t="shared" ref="J108:J116" si="94">+H108/F108</f>
        <v>1</v>
      </c>
      <c r="K108" s="136"/>
      <c r="L108" s="136">
        <f t="shared" ref="L108:L116" si="95">+(H108/F108)*E108</f>
        <v>0.05</v>
      </c>
      <c r="M108" s="130"/>
      <c r="N108" s="542">
        <v>0</v>
      </c>
      <c r="O108" s="542">
        <v>0</v>
      </c>
      <c r="P108" s="542">
        <v>0</v>
      </c>
      <c r="Q108" s="130"/>
      <c r="R108" s="130">
        <f t="shared" si="89"/>
        <v>0</v>
      </c>
      <c r="S108" s="130">
        <f t="shared" si="90"/>
        <v>0</v>
      </c>
      <c r="T108" s="136"/>
      <c r="U108" s="136">
        <f t="shared" ref="U108:U114" si="96">+R108/H108</f>
        <v>0</v>
      </c>
      <c r="V108" s="136"/>
      <c r="W108" s="136">
        <f t="shared" ref="W108:W116" si="97">+U108*E108</f>
        <v>0</v>
      </c>
      <c r="X108" s="136"/>
      <c r="Y108" s="136">
        <v>0</v>
      </c>
      <c r="Z108" s="136"/>
      <c r="AA108" s="136">
        <f t="shared" ref="AA108:AA123" si="98">+Y108*E108</f>
        <v>0</v>
      </c>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row>
    <row r="109" spans="1:49" ht="57.6" customHeight="1" thickBot="1" x14ac:dyDescent="0.4">
      <c r="A109" s="110"/>
      <c r="B109" s="133" t="s">
        <v>773</v>
      </c>
      <c r="C109" s="142" t="s">
        <v>1470</v>
      </c>
      <c r="D109" s="162" t="s">
        <v>767</v>
      </c>
      <c r="E109" s="134">
        <v>0.28000000000000003</v>
      </c>
      <c r="F109" s="135">
        <v>3652</v>
      </c>
      <c r="G109" s="130">
        <v>652</v>
      </c>
      <c r="H109" s="130">
        <v>1000</v>
      </c>
      <c r="I109" s="136">
        <f t="shared" ref="I109:I114" si="99">+G109/F109</f>
        <v>0.17853231106243153</v>
      </c>
      <c r="J109" s="136">
        <f t="shared" si="94"/>
        <v>0.2738225629791895</v>
      </c>
      <c r="K109" s="136">
        <f t="shared" ref="K109:K114" si="100">+(G109/F109)*E109</f>
        <v>4.9989047097480831E-2</v>
      </c>
      <c r="L109" s="136">
        <f t="shared" si="95"/>
        <v>7.6670317634173063E-2</v>
      </c>
      <c r="M109" s="130">
        <v>1324</v>
      </c>
      <c r="N109" s="542">
        <v>35</v>
      </c>
      <c r="O109" s="542">
        <v>434</v>
      </c>
      <c r="P109" s="542">
        <v>130</v>
      </c>
      <c r="Q109" s="130"/>
      <c r="R109" s="130">
        <f t="shared" si="89"/>
        <v>599</v>
      </c>
      <c r="S109" s="130">
        <f t="shared" si="90"/>
        <v>1923</v>
      </c>
      <c r="T109" s="136">
        <v>1</v>
      </c>
      <c r="U109" s="136">
        <f t="shared" si="96"/>
        <v>0.59899999999999998</v>
      </c>
      <c r="V109" s="136">
        <f t="shared" ref="V109:V114" si="101">+T109*E109</f>
        <v>0.28000000000000003</v>
      </c>
      <c r="W109" s="136">
        <f t="shared" si="97"/>
        <v>0.16772000000000001</v>
      </c>
      <c r="X109" s="136">
        <f t="shared" ref="X109:X114" si="102">+M109/F109</f>
        <v>0.36254107338444685</v>
      </c>
      <c r="Y109" s="136">
        <f t="shared" ref="Y109:Y121" si="103">+S109/F109</f>
        <v>0.52656078860898137</v>
      </c>
      <c r="Z109" s="136">
        <f t="shared" ref="Z109:Z114" si="104">+X109*E109</f>
        <v>0.10151150054764513</v>
      </c>
      <c r="AA109" s="136">
        <f t="shared" si="98"/>
        <v>0.1474370208105148</v>
      </c>
      <c r="AB109" s="106"/>
      <c r="AC109" s="106"/>
      <c r="AD109" s="106"/>
      <c r="AE109" s="106"/>
      <c r="AF109" s="106"/>
      <c r="AG109" s="106"/>
      <c r="AH109" s="106"/>
      <c r="AI109" s="106"/>
      <c r="AJ109" s="106"/>
      <c r="AK109" s="106"/>
      <c r="AL109" s="106"/>
      <c r="AM109" s="106"/>
      <c r="AN109" s="106"/>
      <c r="AO109" s="106"/>
      <c r="AP109" s="106"/>
      <c r="AQ109" s="106"/>
      <c r="AR109" s="106"/>
      <c r="AS109" s="106"/>
      <c r="AT109" s="106"/>
      <c r="AU109" s="106"/>
      <c r="AV109" s="106"/>
      <c r="AW109" s="106"/>
    </row>
    <row r="110" spans="1:49" ht="90" customHeight="1" thickBot="1" x14ac:dyDescent="0.4">
      <c r="A110" s="110"/>
      <c r="B110" s="133" t="s">
        <v>774</v>
      </c>
      <c r="C110" s="142" t="s">
        <v>1471</v>
      </c>
      <c r="D110" s="161" t="s">
        <v>767</v>
      </c>
      <c r="E110" s="134">
        <v>0.05</v>
      </c>
      <c r="F110" s="135">
        <v>2</v>
      </c>
      <c r="G110" s="130">
        <v>0</v>
      </c>
      <c r="H110" s="130">
        <v>0</v>
      </c>
      <c r="I110" s="136"/>
      <c r="J110" s="136"/>
      <c r="K110" s="136"/>
      <c r="L110" s="136"/>
      <c r="M110" s="130"/>
      <c r="N110" s="542"/>
      <c r="O110" s="542"/>
      <c r="P110" s="542">
        <v>0</v>
      </c>
      <c r="Q110" s="130"/>
      <c r="R110" s="130"/>
      <c r="S110" s="130"/>
      <c r="T110" s="136"/>
      <c r="U110" s="136"/>
      <c r="V110" s="136"/>
      <c r="W110" s="136"/>
      <c r="X110" s="136"/>
      <c r="Y110" s="136"/>
      <c r="Z110" s="136"/>
      <c r="AA110" s="136">
        <f t="shared" si="98"/>
        <v>0</v>
      </c>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row>
    <row r="111" spans="1:49" ht="54" customHeight="1" thickBot="1" x14ac:dyDescent="0.4">
      <c r="A111" s="110"/>
      <c r="B111" s="133" t="s">
        <v>775</v>
      </c>
      <c r="C111" s="142" t="s">
        <v>1472</v>
      </c>
      <c r="D111" s="144" t="s">
        <v>767</v>
      </c>
      <c r="E111" s="134">
        <v>0.2</v>
      </c>
      <c r="F111" s="135">
        <v>20</v>
      </c>
      <c r="G111" s="130">
        <v>1</v>
      </c>
      <c r="H111" s="130">
        <v>7</v>
      </c>
      <c r="I111" s="136">
        <f t="shared" si="99"/>
        <v>0.05</v>
      </c>
      <c r="J111" s="136">
        <f t="shared" si="94"/>
        <v>0.35</v>
      </c>
      <c r="K111" s="136">
        <f t="shared" si="100"/>
        <v>1.0000000000000002E-2</v>
      </c>
      <c r="L111" s="136">
        <f t="shared" si="95"/>
        <v>6.9999999999999993E-2</v>
      </c>
      <c r="M111" s="130">
        <v>1</v>
      </c>
      <c r="N111" s="542">
        <v>0</v>
      </c>
      <c r="O111" s="542">
        <v>0</v>
      </c>
      <c r="P111" s="542">
        <v>0</v>
      </c>
      <c r="Q111" s="130"/>
      <c r="R111" s="130">
        <f t="shared" si="89"/>
        <v>0</v>
      </c>
      <c r="S111" s="130">
        <f t="shared" si="90"/>
        <v>1</v>
      </c>
      <c r="T111" s="136">
        <f t="shared" ref="T111:T114" si="105">+(M111/G111)</f>
        <v>1</v>
      </c>
      <c r="U111" s="136">
        <f t="shared" si="96"/>
        <v>0</v>
      </c>
      <c r="V111" s="136">
        <f t="shared" si="101"/>
        <v>0.2</v>
      </c>
      <c r="W111" s="136">
        <f t="shared" si="97"/>
        <v>0</v>
      </c>
      <c r="X111" s="136">
        <f t="shared" si="102"/>
        <v>0.05</v>
      </c>
      <c r="Y111" s="136">
        <f t="shared" si="103"/>
        <v>0.05</v>
      </c>
      <c r="Z111" s="136">
        <f t="shared" si="104"/>
        <v>1.0000000000000002E-2</v>
      </c>
      <c r="AA111" s="136">
        <f t="shared" si="98"/>
        <v>1.0000000000000002E-2</v>
      </c>
      <c r="AB111" s="106"/>
      <c r="AC111" s="106"/>
      <c r="AD111" s="106"/>
      <c r="AE111" s="106"/>
      <c r="AF111" s="106"/>
      <c r="AG111" s="106"/>
      <c r="AH111" s="106"/>
      <c r="AI111" s="106"/>
      <c r="AJ111" s="106"/>
      <c r="AK111" s="106"/>
      <c r="AL111" s="106"/>
      <c r="AM111" s="106"/>
      <c r="AN111" s="106"/>
      <c r="AO111" s="106"/>
      <c r="AP111" s="106"/>
      <c r="AQ111" s="106"/>
      <c r="AR111" s="106"/>
      <c r="AS111" s="106"/>
      <c r="AT111" s="106"/>
      <c r="AU111" s="106"/>
      <c r="AV111" s="106"/>
      <c r="AW111" s="106"/>
    </row>
    <row r="112" spans="1:49" ht="90.6" customHeight="1" thickBot="1" x14ac:dyDescent="0.4">
      <c r="A112" s="110"/>
      <c r="B112" s="133" t="s">
        <v>776</v>
      </c>
      <c r="C112" s="142" t="s">
        <v>1473</v>
      </c>
      <c r="D112" s="144" t="s">
        <v>767</v>
      </c>
      <c r="E112" s="134">
        <v>0.08</v>
      </c>
      <c r="F112" s="135">
        <v>3</v>
      </c>
      <c r="G112" s="130">
        <v>0</v>
      </c>
      <c r="H112" s="130">
        <v>1</v>
      </c>
      <c r="I112" s="136"/>
      <c r="J112" s="136">
        <f t="shared" si="94"/>
        <v>0.33333333333333331</v>
      </c>
      <c r="K112" s="136"/>
      <c r="L112" s="136">
        <f t="shared" si="95"/>
        <v>2.6666666666666665E-2</v>
      </c>
      <c r="M112" s="130"/>
      <c r="N112" s="542">
        <v>0</v>
      </c>
      <c r="O112" s="542">
        <v>1</v>
      </c>
      <c r="P112" s="542">
        <v>0</v>
      </c>
      <c r="Q112" s="130"/>
      <c r="R112" s="130">
        <f t="shared" si="89"/>
        <v>1</v>
      </c>
      <c r="S112" s="130">
        <f t="shared" si="90"/>
        <v>1</v>
      </c>
      <c r="T112" s="136"/>
      <c r="U112" s="136">
        <f t="shared" si="96"/>
        <v>1</v>
      </c>
      <c r="V112" s="136"/>
      <c r="W112" s="136">
        <f t="shared" si="97"/>
        <v>0.08</v>
      </c>
      <c r="X112" s="136"/>
      <c r="Y112" s="136">
        <f t="shared" si="103"/>
        <v>0.33333333333333331</v>
      </c>
      <c r="Z112" s="136"/>
      <c r="AA112" s="136">
        <f t="shared" si="98"/>
        <v>2.6666666666666665E-2</v>
      </c>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row>
    <row r="113" spans="1:49" ht="87" customHeight="1" thickBot="1" x14ac:dyDescent="0.4">
      <c r="A113" s="110"/>
      <c r="B113" s="133" t="s">
        <v>777</v>
      </c>
      <c r="C113" s="142" t="s">
        <v>1474</v>
      </c>
      <c r="D113" s="144" t="s">
        <v>767</v>
      </c>
      <c r="E113" s="134">
        <v>0.05</v>
      </c>
      <c r="F113" s="135">
        <v>4</v>
      </c>
      <c r="G113" s="130">
        <v>0</v>
      </c>
      <c r="H113" s="130">
        <v>0</v>
      </c>
      <c r="I113" s="136"/>
      <c r="J113" s="136"/>
      <c r="K113" s="136"/>
      <c r="L113" s="136"/>
      <c r="M113" s="130"/>
      <c r="N113" s="542"/>
      <c r="O113" s="542"/>
      <c r="P113" s="542">
        <v>0</v>
      </c>
      <c r="Q113" s="130"/>
      <c r="R113" s="130">
        <f t="shared" si="89"/>
        <v>0</v>
      </c>
      <c r="S113" s="130">
        <f t="shared" si="90"/>
        <v>0</v>
      </c>
      <c r="T113" s="136"/>
      <c r="U113" s="136"/>
      <c r="V113" s="136"/>
      <c r="W113" s="136"/>
      <c r="X113" s="136"/>
      <c r="Y113" s="136"/>
      <c r="Z113" s="136"/>
      <c r="AA113" s="136">
        <f t="shared" si="98"/>
        <v>0</v>
      </c>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row>
    <row r="114" spans="1:49" ht="54" customHeight="1" thickBot="1" x14ac:dyDescent="0.4">
      <c r="A114" s="110"/>
      <c r="B114" s="133" t="s">
        <v>778</v>
      </c>
      <c r="C114" s="142" t="s">
        <v>1475</v>
      </c>
      <c r="D114" s="144" t="s">
        <v>767</v>
      </c>
      <c r="E114" s="134">
        <v>0.12</v>
      </c>
      <c r="F114" s="135">
        <v>20</v>
      </c>
      <c r="G114" s="130">
        <v>1</v>
      </c>
      <c r="H114" s="130">
        <v>7</v>
      </c>
      <c r="I114" s="136">
        <f t="shared" si="99"/>
        <v>0.05</v>
      </c>
      <c r="J114" s="136">
        <f t="shared" si="94"/>
        <v>0.35</v>
      </c>
      <c r="K114" s="136">
        <f t="shared" si="100"/>
        <v>6.0000000000000001E-3</v>
      </c>
      <c r="L114" s="136">
        <f t="shared" si="95"/>
        <v>4.1999999999999996E-2</v>
      </c>
      <c r="M114" s="130">
        <v>1</v>
      </c>
      <c r="N114" s="542">
        <v>0</v>
      </c>
      <c r="O114" s="542">
        <v>2</v>
      </c>
      <c r="P114" s="542">
        <v>0</v>
      </c>
      <c r="Q114" s="130"/>
      <c r="R114" s="130">
        <f t="shared" si="89"/>
        <v>2</v>
      </c>
      <c r="S114" s="130">
        <f t="shared" si="90"/>
        <v>3</v>
      </c>
      <c r="T114" s="136">
        <f t="shared" si="105"/>
        <v>1</v>
      </c>
      <c r="U114" s="136">
        <f t="shared" si="96"/>
        <v>0.2857142857142857</v>
      </c>
      <c r="V114" s="136">
        <f t="shared" si="101"/>
        <v>0.12</v>
      </c>
      <c r="W114" s="136">
        <f t="shared" si="97"/>
        <v>3.428571428571428E-2</v>
      </c>
      <c r="X114" s="136">
        <f t="shared" si="102"/>
        <v>0.05</v>
      </c>
      <c r="Y114" s="136">
        <f t="shared" si="103"/>
        <v>0.15</v>
      </c>
      <c r="Z114" s="136">
        <f t="shared" si="104"/>
        <v>6.0000000000000001E-3</v>
      </c>
      <c r="AA114" s="136">
        <f t="shared" si="98"/>
        <v>1.7999999999999999E-2</v>
      </c>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row>
    <row r="115" spans="1:49" ht="104.4" customHeight="1" thickBot="1" x14ac:dyDescent="0.4">
      <c r="A115" s="110"/>
      <c r="B115" s="133" t="s">
        <v>779</v>
      </c>
      <c r="C115" s="142" t="s">
        <v>1476</v>
      </c>
      <c r="D115" s="151" t="s">
        <v>780</v>
      </c>
      <c r="E115" s="134">
        <v>0.02</v>
      </c>
      <c r="F115" s="135">
        <v>4</v>
      </c>
      <c r="G115" s="130">
        <v>0</v>
      </c>
      <c r="H115" s="130">
        <v>0</v>
      </c>
      <c r="I115" s="136"/>
      <c r="J115" s="136">
        <f t="shared" si="94"/>
        <v>0</v>
      </c>
      <c r="K115" s="136"/>
      <c r="L115" s="136">
        <f t="shared" si="95"/>
        <v>0</v>
      </c>
      <c r="M115" s="130"/>
      <c r="N115" s="203"/>
      <c r="O115" s="203"/>
      <c r="P115" s="203"/>
      <c r="Q115" s="130"/>
      <c r="R115" s="130">
        <f t="shared" si="89"/>
        <v>0</v>
      </c>
      <c r="S115" s="130">
        <f t="shared" si="90"/>
        <v>0</v>
      </c>
      <c r="T115" s="136"/>
      <c r="U115" s="136"/>
      <c r="V115" s="136"/>
      <c r="W115" s="136">
        <f t="shared" si="97"/>
        <v>0</v>
      </c>
      <c r="X115" s="136"/>
      <c r="Y115" s="136"/>
      <c r="Z115" s="136"/>
      <c r="AA115" s="136">
        <f t="shared" si="98"/>
        <v>0</v>
      </c>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row>
    <row r="116" spans="1:49" ht="64.95" customHeight="1" thickBot="1" x14ac:dyDescent="0.4">
      <c r="A116" s="110"/>
      <c r="B116" s="133" t="s">
        <v>781</v>
      </c>
      <c r="C116" s="142" t="s">
        <v>1477</v>
      </c>
      <c r="D116" s="153" t="s">
        <v>782</v>
      </c>
      <c r="E116" s="134">
        <v>0.15</v>
      </c>
      <c r="F116" s="135">
        <v>1</v>
      </c>
      <c r="G116" s="130">
        <v>0</v>
      </c>
      <c r="H116" s="130">
        <v>0</v>
      </c>
      <c r="I116" s="136"/>
      <c r="J116" s="136">
        <f t="shared" si="94"/>
        <v>0</v>
      </c>
      <c r="K116" s="136"/>
      <c r="L116" s="136">
        <f t="shared" si="95"/>
        <v>0</v>
      </c>
      <c r="M116" s="130"/>
      <c r="N116" s="203"/>
      <c r="O116" s="203"/>
      <c r="P116" s="203"/>
      <c r="Q116" s="130"/>
      <c r="R116" s="130">
        <f t="shared" si="89"/>
        <v>0</v>
      </c>
      <c r="S116" s="130">
        <f t="shared" si="90"/>
        <v>0</v>
      </c>
      <c r="T116" s="136"/>
      <c r="U116" s="136"/>
      <c r="V116" s="136"/>
      <c r="W116" s="136">
        <f t="shared" si="97"/>
        <v>0</v>
      </c>
      <c r="X116" s="136"/>
      <c r="Y116" s="136"/>
      <c r="Z116" s="136"/>
      <c r="AA116" s="136">
        <f t="shared" si="98"/>
        <v>0</v>
      </c>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row>
    <row r="117" spans="1:49" ht="28.5" customHeight="1" thickBot="1" x14ac:dyDescent="0.4">
      <c r="A117" s="110"/>
      <c r="B117" s="970" t="s">
        <v>783</v>
      </c>
      <c r="C117" s="971"/>
      <c r="D117" s="143"/>
      <c r="E117" s="126">
        <v>0.3</v>
      </c>
      <c r="F117" s="146"/>
      <c r="G117" s="130"/>
      <c r="H117" s="130"/>
      <c r="I117" s="129">
        <f>+AVERAGE(I118:I123)</f>
        <v>0.25</v>
      </c>
      <c r="J117" s="129">
        <f>+AVERAGE(J118:J123)</f>
        <v>0.55000000000000004</v>
      </c>
      <c r="K117" s="129">
        <f>+K118+K119+K120+K121+K122+K123</f>
        <v>3.7499999999999999E-2</v>
      </c>
      <c r="L117" s="129">
        <f>+L118+L119+L120+L121+L122+L123</f>
        <v>0.41250000000000003</v>
      </c>
      <c r="M117" s="128"/>
      <c r="N117" s="128"/>
      <c r="O117" s="128"/>
      <c r="P117" s="128"/>
      <c r="Q117" s="128"/>
      <c r="R117" s="128"/>
      <c r="S117" s="128"/>
      <c r="T117" s="150">
        <f>+AVERAGE(T118:T123)</f>
        <v>1</v>
      </c>
      <c r="U117" s="150">
        <f>+AVERAGE(U118:U123)</f>
        <v>0.2</v>
      </c>
      <c r="V117" s="150">
        <f>+(V118+V119+V120+V121+V122+V123)*E117</f>
        <v>4.4999999999999998E-2</v>
      </c>
      <c r="W117" s="150">
        <f>+(W118+W119+W120+W121+W122+W123)*E117</f>
        <v>0.09</v>
      </c>
      <c r="X117" s="129">
        <f>+AVERAGE(X118:X123)</f>
        <v>0.25</v>
      </c>
      <c r="Y117" s="129">
        <f>+AVERAGE(Y118:Y123)</f>
        <v>0.25</v>
      </c>
      <c r="Z117" s="129">
        <f>+(Z118+Z119+Z120+Z121+Z122+Z123)*E117</f>
        <v>1.125E-2</v>
      </c>
      <c r="AA117" s="129">
        <f>+(AA118+AA119+AA120+AA121+AA122+AA123)</f>
        <v>0.33749999999999997</v>
      </c>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row>
    <row r="118" spans="1:49" ht="93.6" customHeight="1" thickBot="1" x14ac:dyDescent="0.4">
      <c r="A118" s="110"/>
      <c r="B118" s="133" t="s">
        <v>784</v>
      </c>
      <c r="C118" s="142" t="s">
        <v>1478</v>
      </c>
      <c r="D118" s="144" t="s">
        <v>767</v>
      </c>
      <c r="E118" s="134">
        <v>0.05</v>
      </c>
      <c r="F118" s="135">
        <v>2</v>
      </c>
      <c r="G118" s="130">
        <v>0</v>
      </c>
      <c r="H118" s="130">
        <v>1</v>
      </c>
      <c r="I118" s="136"/>
      <c r="J118" s="136">
        <f t="shared" ref="J118:J123" si="106">+H118/F118</f>
        <v>0.5</v>
      </c>
      <c r="K118" s="136"/>
      <c r="L118" s="136">
        <f t="shared" ref="L118:L123" si="107">+(H118/F118)*E118</f>
        <v>2.5000000000000001E-2</v>
      </c>
      <c r="M118" s="130"/>
      <c r="N118" s="542">
        <v>0</v>
      </c>
      <c r="O118" s="542">
        <v>0</v>
      </c>
      <c r="P118" s="542">
        <v>0</v>
      </c>
      <c r="Q118" s="130"/>
      <c r="R118" s="130">
        <f t="shared" si="89"/>
        <v>0</v>
      </c>
      <c r="S118" s="130">
        <f t="shared" si="90"/>
        <v>0</v>
      </c>
      <c r="T118" s="136"/>
      <c r="U118" s="136">
        <f t="shared" ref="U118:U123" si="108">+R118/H118</f>
        <v>0</v>
      </c>
      <c r="V118" s="136"/>
      <c r="W118" s="136">
        <f t="shared" ref="W118:W123" si="109">+U118*E118</f>
        <v>0</v>
      </c>
      <c r="X118" s="136"/>
      <c r="Y118" s="136">
        <v>0</v>
      </c>
      <c r="Z118" s="136"/>
      <c r="AA118" s="136">
        <f t="shared" si="98"/>
        <v>0</v>
      </c>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row>
    <row r="119" spans="1:49" ht="93" customHeight="1" thickBot="1" x14ac:dyDescent="0.4">
      <c r="A119" s="110"/>
      <c r="B119" s="133" t="s">
        <v>785</v>
      </c>
      <c r="C119" s="142" t="s">
        <v>1479</v>
      </c>
      <c r="D119" s="144" t="s">
        <v>767</v>
      </c>
      <c r="E119" s="134">
        <v>0.15</v>
      </c>
      <c r="F119" s="135">
        <v>4</v>
      </c>
      <c r="G119" s="130">
        <v>1</v>
      </c>
      <c r="H119" s="130">
        <v>1</v>
      </c>
      <c r="I119" s="136">
        <f>+G119/F119</f>
        <v>0.25</v>
      </c>
      <c r="J119" s="136">
        <f t="shared" si="106"/>
        <v>0.25</v>
      </c>
      <c r="K119" s="136">
        <f>+(G119/F119)*E119</f>
        <v>3.7499999999999999E-2</v>
      </c>
      <c r="L119" s="136">
        <f>+(H119/F119)*E119</f>
        <v>3.7499999999999999E-2</v>
      </c>
      <c r="M119" s="130">
        <v>1</v>
      </c>
      <c r="N119" s="542">
        <v>0</v>
      </c>
      <c r="O119" s="542">
        <v>0</v>
      </c>
      <c r="P119" s="542">
        <v>0</v>
      </c>
      <c r="Q119" s="130"/>
      <c r="R119" s="130">
        <f t="shared" si="89"/>
        <v>0</v>
      </c>
      <c r="S119" s="130">
        <f t="shared" si="90"/>
        <v>1</v>
      </c>
      <c r="T119" s="136">
        <f>+(M119/G119)</f>
        <v>1</v>
      </c>
      <c r="U119" s="136">
        <f>+R119/H119</f>
        <v>0</v>
      </c>
      <c r="V119" s="136">
        <f>+T119*E119</f>
        <v>0.15</v>
      </c>
      <c r="W119" s="136">
        <f t="shared" si="109"/>
        <v>0</v>
      </c>
      <c r="X119" s="136">
        <f>+M119/F119</f>
        <v>0.25</v>
      </c>
      <c r="Y119" s="136">
        <f t="shared" si="103"/>
        <v>0.25</v>
      </c>
      <c r="Z119" s="152">
        <f>+X119*E119</f>
        <v>3.7499999999999999E-2</v>
      </c>
      <c r="AA119" s="152">
        <f t="shared" si="98"/>
        <v>3.7499999999999999E-2</v>
      </c>
      <c r="AB119" s="106"/>
      <c r="AC119" s="106"/>
      <c r="AD119" s="106"/>
      <c r="AE119" s="106"/>
      <c r="AF119" s="106"/>
      <c r="AG119" s="106"/>
      <c r="AH119" s="106"/>
      <c r="AI119" s="106"/>
      <c r="AJ119" s="106"/>
      <c r="AK119" s="106"/>
      <c r="AL119" s="106"/>
      <c r="AM119" s="106"/>
      <c r="AN119" s="106"/>
      <c r="AO119" s="106"/>
      <c r="AP119" s="106"/>
      <c r="AQ119" s="106"/>
      <c r="AR119" s="106"/>
      <c r="AS119" s="106"/>
      <c r="AT119" s="106"/>
      <c r="AU119" s="106"/>
      <c r="AV119" s="106"/>
      <c r="AW119" s="106"/>
    </row>
    <row r="120" spans="1:49" ht="59.4" customHeight="1" thickBot="1" x14ac:dyDescent="0.4">
      <c r="A120" s="110"/>
      <c r="B120" s="133" t="s">
        <v>786</v>
      </c>
      <c r="C120" s="142" t="s">
        <v>1480</v>
      </c>
      <c r="D120" s="144" t="s">
        <v>767</v>
      </c>
      <c r="E120" s="134">
        <v>0.4</v>
      </c>
      <c r="F120" s="135">
        <v>1</v>
      </c>
      <c r="G120" s="130">
        <v>0</v>
      </c>
      <c r="H120" s="130">
        <v>0</v>
      </c>
      <c r="I120" s="136"/>
      <c r="J120" s="136"/>
      <c r="K120" s="136"/>
      <c r="L120" s="136"/>
      <c r="M120" s="130"/>
      <c r="N120" s="542"/>
      <c r="O120" s="542"/>
      <c r="P120" s="542">
        <v>0</v>
      </c>
      <c r="Q120" s="130"/>
      <c r="R120" s="130">
        <f t="shared" si="89"/>
        <v>0</v>
      </c>
      <c r="S120" s="130">
        <f t="shared" si="90"/>
        <v>0</v>
      </c>
      <c r="T120" s="136"/>
      <c r="U120" s="136"/>
      <c r="V120" s="136"/>
      <c r="W120" s="136"/>
      <c r="X120" s="136"/>
      <c r="Y120" s="136"/>
      <c r="Z120" s="136"/>
      <c r="AA120" s="136">
        <f t="shared" si="98"/>
        <v>0</v>
      </c>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row>
    <row r="121" spans="1:49" ht="59.4" customHeight="1" thickBot="1" x14ac:dyDescent="0.4">
      <c r="A121" s="110"/>
      <c r="B121" s="133" t="s">
        <v>787</v>
      </c>
      <c r="C121" s="142" t="s">
        <v>1481</v>
      </c>
      <c r="D121" s="144" t="s">
        <v>767</v>
      </c>
      <c r="E121" s="134">
        <v>0.3</v>
      </c>
      <c r="F121" s="135">
        <v>1</v>
      </c>
      <c r="G121" s="130">
        <v>0</v>
      </c>
      <c r="H121" s="130">
        <v>1</v>
      </c>
      <c r="I121" s="136"/>
      <c r="J121" s="136">
        <f t="shared" si="106"/>
        <v>1</v>
      </c>
      <c r="K121" s="136"/>
      <c r="L121" s="136">
        <f t="shared" si="107"/>
        <v>0.3</v>
      </c>
      <c r="M121" s="130"/>
      <c r="N121" s="542">
        <v>1</v>
      </c>
      <c r="O121" s="542">
        <v>0</v>
      </c>
      <c r="P121" s="542">
        <v>0</v>
      </c>
      <c r="Q121" s="130"/>
      <c r="R121" s="130">
        <f t="shared" si="89"/>
        <v>1</v>
      </c>
      <c r="S121" s="130">
        <f t="shared" si="90"/>
        <v>1</v>
      </c>
      <c r="T121" s="136"/>
      <c r="U121" s="136">
        <f t="shared" si="108"/>
        <v>1</v>
      </c>
      <c r="V121" s="136"/>
      <c r="W121" s="136">
        <f t="shared" si="109"/>
        <v>0.3</v>
      </c>
      <c r="X121" s="136"/>
      <c r="Y121" s="136">
        <f t="shared" si="103"/>
        <v>1</v>
      </c>
      <c r="Z121" s="136"/>
      <c r="AA121" s="136">
        <f>+Y121*E121</f>
        <v>0.3</v>
      </c>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6"/>
    </row>
    <row r="122" spans="1:49" ht="107.4" customHeight="1" thickBot="1" x14ac:dyDescent="0.4">
      <c r="A122" s="110"/>
      <c r="B122" s="133" t="s">
        <v>788</v>
      </c>
      <c r="C122" s="142" t="s">
        <v>1482</v>
      </c>
      <c r="D122" s="144" t="s">
        <v>767</v>
      </c>
      <c r="E122" s="134">
        <v>0.05</v>
      </c>
      <c r="F122" s="135">
        <v>1</v>
      </c>
      <c r="G122" s="130">
        <v>0</v>
      </c>
      <c r="H122" s="130">
        <v>0.5</v>
      </c>
      <c r="I122" s="136"/>
      <c r="J122" s="136">
        <f t="shared" si="106"/>
        <v>0.5</v>
      </c>
      <c r="K122" s="136"/>
      <c r="L122" s="136">
        <f t="shared" si="107"/>
        <v>2.5000000000000001E-2</v>
      </c>
      <c r="M122" s="130"/>
      <c r="N122" s="542">
        <v>0</v>
      </c>
      <c r="O122" s="542">
        <v>0</v>
      </c>
      <c r="P122" s="542">
        <v>0</v>
      </c>
      <c r="Q122" s="130"/>
      <c r="R122" s="130">
        <f t="shared" si="89"/>
        <v>0</v>
      </c>
      <c r="S122" s="130">
        <f t="shared" si="90"/>
        <v>0</v>
      </c>
      <c r="T122" s="136"/>
      <c r="U122" s="136">
        <f t="shared" si="108"/>
        <v>0</v>
      </c>
      <c r="V122" s="136"/>
      <c r="W122" s="136">
        <f t="shared" si="109"/>
        <v>0</v>
      </c>
      <c r="X122" s="136"/>
      <c r="Y122" s="136">
        <v>0</v>
      </c>
      <c r="Z122" s="136"/>
      <c r="AA122" s="136">
        <f t="shared" si="98"/>
        <v>0</v>
      </c>
      <c r="AB122" s="106"/>
      <c r="AC122" s="106"/>
      <c r="AD122" s="106"/>
      <c r="AE122" s="106"/>
      <c r="AF122" s="106"/>
      <c r="AG122" s="106"/>
      <c r="AH122" s="106"/>
      <c r="AI122" s="106"/>
      <c r="AJ122" s="106"/>
      <c r="AK122" s="106"/>
      <c r="AL122" s="106"/>
      <c r="AM122" s="106"/>
      <c r="AN122" s="106"/>
      <c r="AO122" s="106"/>
      <c r="AP122" s="106"/>
      <c r="AQ122" s="106"/>
      <c r="AR122" s="106"/>
      <c r="AS122" s="106"/>
      <c r="AT122" s="106"/>
      <c r="AU122" s="106"/>
      <c r="AV122" s="106"/>
      <c r="AW122" s="106"/>
    </row>
    <row r="123" spans="1:49" ht="103.2" customHeight="1" thickBot="1" x14ac:dyDescent="0.4">
      <c r="A123" s="110"/>
      <c r="B123" s="133" t="s">
        <v>789</v>
      </c>
      <c r="C123" s="142" t="s">
        <v>1483</v>
      </c>
      <c r="D123" s="153" t="s">
        <v>838</v>
      </c>
      <c r="E123" s="134">
        <v>0.05</v>
      </c>
      <c r="F123" s="135">
        <v>1</v>
      </c>
      <c r="G123" s="130">
        <v>0</v>
      </c>
      <c r="H123" s="130">
        <v>0.5</v>
      </c>
      <c r="I123" s="136"/>
      <c r="J123" s="136">
        <f t="shared" si="106"/>
        <v>0.5</v>
      </c>
      <c r="K123" s="136"/>
      <c r="L123" s="136">
        <f t="shared" si="107"/>
        <v>2.5000000000000001E-2</v>
      </c>
      <c r="M123" s="130"/>
      <c r="N123" s="542">
        <v>0</v>
      </c>
      <c r="O123" s="542">
        <v>0</v>
      </c>
      <c r="P123" s="542">
        <v>0</v>
      </c>
      <c r="Q123" s="130"/>
      <c r="R123" s="130">
        <f t="shared" si="89"/>
        <v>0</v>
      </c>
      <c r="S123" s="130">
        <f t="shared" si="90"/>
        <v>0</v>
      </c>
      <c r="T123" s="136"/>
      <c r="U123" s="136">
        <f t="shared" si="108"/>
        <v>0</v>
      </c>
      <c r="V123" s="136"/>
      <c r="W123" s="136">
        <f t="shared" si="109"/>
        <v>0</v>
      </c>
      <c r="X123" s="136"/>
      <c r="Y123" s="136">
        <v>0</v>
      </c>
      <c r="Z123" s="136"/>
      <c r="AA123" s="136">
        <f t="shared" si="98"/>
        <v>0</v>
      </c>
      <c r="AB123" s="106"/>
      <c r="AC123" s="106"/>
      <c r="AD123" s="106"/>
      <c r="AE123" s="106"/>
      <c r="AF123" s="106"/>
      <c r="AG123" s="106"/>
      <c r="AH123" s="106"/>
      <c r="AI123" s="106"/>
      <c r="AJ123" s="106"/>
      <c r="AK123" s="106"/>
      <c r="AL123" s="106"/>
      <c r="AM123" s="106"/>
      <c r="AN123" s="106"/>
      <c r="AO123" s="106"/>
      <c r="AP123" s="106"/>
      <c r="AQ123" s="106"/>
      <c r="AR123" s="106"/>
      <c r="AS123" s="106"/>
      <c r="AT123" s="106"/>
      <c r="AU123" s="106"/>
      <c r="AV123" s="106"/>
      <c r="AW123" s="106"/>
    </row>
    <row r="124" spans="1:49" ht="93" customHeight="1" thickBot="1" x14ac:dyDescent="0.4">
      <c r="A124" s="110"/>
      <c r="B124" s="966" t="s">
        <v>1729</v>
      </c>
      <c r="C124" s="967"/>
      <c r="D124" s="154"/>
      <c r="E124" s="118">
        <v>0.2</v>
      </c>
      <c r="F124" s="119">
        <f>+E124*V124</f>
        <v>0.11007500000000002</v>
      </c>
      <c r="G124" s="123"/>
      <c r="H124" s="119">
        <f>+E124*W124</f>
        <v>0</v>
      </c>
      <c r="I124" s="121">
        <f>+(I125+I129)/2</f>
        <v>0.3833333333333333</v>
      </c>
      <c r="J124" s="121">
        <f>+(J125+J129)/2</f>
        <v>0.20555555555555555</v>
      </c>
      <c r="K124" s="122">
        <f>+(K125+K129)/2</f>
        <v>0.1958333333333333</v>
      </c>
      <c r="L124" s="122">
        <f>+(L125+L129)/2</f>
        <v>0.1958333333333333</v>
      </c>
      <c r="M124" s="123"/>
      <c r="N124" s="123"/>
      <c r="O124" s="123"/>
      <c r="P124" s="123"/>
      <c r="Q124" s="123"/>
      <c r="R124" s="123"/>
      <c r="S124" s="123"/>
      <c r="T124" s="121">
        <f>+(T125+T129)/2</f>
        <v>0.93366666666666664</v>
      </c>
      <c r="U124" s="121">
        <f>+(U125+U129)/2</f>
        <v>0.72166666666666668</v>
      </c>
      <c r="V124" s="122">
        <f>V125+V129</f>
        <v>0.55037500000000006</v>
      </c>
      <c r="W124" s="122">
        <f>W125+W129</f>
        <v>0</v>
      </c>
      <c r="X124" s="121">
        <f>(X125+X129)/2</f>
        <v>0.24676666666666666</v>
      </c>
      <c r="Y124" s="121">
        <f>(Y125+Y129)/2</f>
        <v>0.32858333333333334</v>
      </c>
      <c r="Z124" s="122">
        <f>Z125+Z129</f>
        <v>0.19011249999999999</v>
      </c>
      <c r="AA124" s="122">
        <f>AA125*E125+AA129*E129</f>
        <v>0.33523749999999997</v>
      </c>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row>
    <row r="125" spans="1:49" ht="44.4" customHeight="1" thickBot="1" x14ac:dyDescent="0.4">
      <c r="A125" s="110"/>
      <c r="B125" s="979" t="s">
        <v>1650</v>
      </c>
      <c r="C125" s="980"/>
      <c r="D125" s="160"/>
      <c r="E125" s="126">
        <v>0.75</v>
      </c>
      <c r="F125" s="146"/>
      <c r="G125" s="123"/>
      <c r="H125" s="123"/>
      <c r="I125" s="129">
        <f>+AVERAGE(I126:I128)</f>
        <v>0.33333333333333331</v>
      </c>
      <c r="J125" s="129">
        <f>+AVERAGE(J126:J128)</f>
        <v>0.1111111111111111</v>
      </c>
      <c r="K125" s="129">
        <f>+K126+K127+K128</f>
        <v>0.16666666666666666</v>
      </c>
      <c r="L125" s="129">
        <f>+L126+L127+L128</f>
        <v>0.16666666666666666</v>
      </c>
      <c r="M125" s="128"/>
      <c r="N125" s="128"/>
      <c r="O125" s="128"/>
      <c r="P125" s="128"/>
      <c r="Q125" s="128"/>
      <c r="R125" s="128"/>
      <c r="S125" s="128"/>
      <c r="T125" s="150">
        <f>+AVERAGE(T126:T128)</f>
        <v>1</v>
      </c>
      <c r="U125" s="150">
        <f>+AVERAGE(U126:U128)</f>
        <v>0.92999999999999994</v>
      </c>
      <c r="V125" s="150">
        <f>+(V126+V127+V128)*E125</f>
        <v>0.375</v>
      </c>
      <c r="W125" s="150">
        <f>+(W126+W127+W128)*F125</f>
        <v>0</v>
      </c>
      <c r="X125" s="129">
        <f>+AVERAGE(X126:X128)*0.3</f>
        <v>9.9999999999999992E-2</v>
      </c>
      <c r="Y125" s="129">
        <f>+Y126*0.33</f>
        <v>0.21230000000000002</v>
      </c>
      <c r="Z125" s="129">
        <f>+(Z126+Z127+Z128)*E125</f>
        <v>0.125</v>
      </c>
      <c r="AA125" s="129">
        <f>+(AA126+AA127+AA128)</f>
        <v>0.32166666666666666</v>
      </c>
      <c r="AB125" s="106"/>
      <c r="AC125" s="106"/>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row>
    <row r="126" spans="1:49" ht="168" customHeight="1" thickBot="1" x14ac:dyDescent="0.4">
      <c r="A126" s="110"/>
      <c r="B126" s="929" t="s">
        <v>791</v>
      </c>
      <c r="C126" s="930" t="s">
        <v>1484</v>
      </c>
      <c r="D126" s="165" t="s">
        <v>792</v>
      </c>
      <c r="E126" s="134">
        <v>0.5</v>
      </c>
      <c r="F126" s="135">
        <v>3</v>
      </c>
      <c r="G126" s="130">
        <v>1</v>
      </c>
      <c r="H126" s="130">
        <v>1</v>
      </c>
      <c r="I126" s="136">
        <f>+G126/F126</f>
        <v>0.33333333333333331</v>
      </c>
      <c r="J126" s="136">
        <f t="shared" ref="J126:J128" si="110">+H126/F126</f>
        <v>0.33333333333333331</v>
      </c>
      <c r="K126" s="136">
        <f>+(G126/F126)*E126</f>
        <v>0.16666666666666666</v>
      </c>
      <c r="L126" s="136">
        <f t="shared" ref="L126:L128" si="111">+(H126/F126)*E126</f>
        <v>0.16666666666666666</v>
      </c>
      <c r="M126" s="130">
        <v>1</v>
      </c>
      <c r="N126" s="542">
        <v>0</v>
      </c>
      <c r="O126" s="542">
        <v>0.43</v>
      </c>
      <c r="P126" s="542">
        <v>0.5</v>
      </c>
      <c r="Q126" s="130"/>
      <c r="R126" s="130">
        <f t="shared" ref="R126:R128" si="112">+N126+O126+P126+Q126</f>
        <v>0.92999999999999994</v>
      </c>
      <c r="S126" s="130">
        <f t="shared" ref="S126:S128" si="113">+R126+M126</f>
        <v>1.93</v>
      </c>
      <c r="T126" s="136">
        <f>+(M126/G126)</f>
        <v>1</v>
      </c>
      <c r="U126" s="136">
        <f t="shared" ref="U126" si="114">+R126/H126</f>
        <v>0.92999999999999994</v>
      </c>
      <c r="V126" s="138">
        <f>+T126*E126</f>
        <v>0.5</v>
      </c>
      <c r="W126" s="138">
        <f t="shared" ref="W126:W128" si="115">+U126*E126</f>
        <v>0.46499999999999997</v>
      </c>
      <c r="X126" s="136">
        <f>+M126/F126</f>
        <v>0.33333333333333331</v>
      </c>
      <c r="Y126" s="136">
        <f>+(S126)/F126</f>
        <v>0.64333333333333331</v>
      </c>
      <c r="Z126" s="136">
        <f>+X126*E126</f>
        <v>0.16666666666666666</v>
      </c>
      <c r="AA126" s="136">
        <f>+Y126*E126</f>
        <v>0.32166666666666666</v>
      </c>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row>
    <row r="127" spans="1:49" ht="94.2" customHeight="1" thickBot="1" x14ac:dyDescent="0.4">
      <c r="A127" s="110"/>
      <c r="B127" s="931" t="s">
        <v>793</v>
      </c>
      <c r="C127" s="932" t="s">
        <v>1485</v>
      </c>
      <c r="D127" s="166" t="s">
        <v>794</v>
      </c>
      <c r="E127" s="134">
        <v>0.25</v>
      </c>
      <c r="F127" s="135">
        <v>176</v>
      </c>
      <c r="G127" s="130">
        <v>0</v>
      </c>
      <c r="H127" s="130">
        <v>0</v>
      </c>
      <c r="I127" s="136"/>
      <c r="J127" s="136">
        <f t="shared" si="110"/>
        <v>0</v>
      </c>
      <c r="K127" s="136"/>
      <c r="L127" s="136">
        <f t="shared" si="111"/>
        <v>0</v>
      </c>
      <c r="M127" s="130"/>
      <c r="N127" s="542">
        <v>0</v>
      </c>
      <c r="O127" s="542">
        <v>0</v>
      </c>
      <c r="P127" s="130"/>
      <c r="Q127" s="130"/>
      <c r="R127" s="130">
        <f t="shared" si="112"/>
        <v>0</v>
      </c>
      <c r="S127" s="130">
        <f t="shared" si="113"/>
        <v>0</v>
      </c>
      <c r="T127" s="137"/>
      <c r="U127" s="136"/>
      <c r="V127" s="138"/>
      <c r="W127" s="138">
        <f t="shared" si="115"/>
        <v>0</v>
      </c>
      <c r="X127" s="136"/>
      <c r="Y127" s="136">
        <v>0</v>
      </c>
      <c r="Z127" s="136"/>
      <c r="AA127" s="136">
        <f t="shared" ref="AA127:AA128" si="116">+Y127*E127</f>
        <v>0</v>
      </c>
      <c r="AB127" s="117"/>
      <c r="AC127" s="106"/>
      <c r="AD127" s="106"/>
      <c r="AE127" s="106"/>
      <c r="AF127" s="106"/>
      <c r="AG127" s="106"/>
      <c r="AH127" s="106"/>
      <c r="AI127" s="106"/>
      <c r="AJ127" s="106"/>
      <c r="AK127" s="106"/>
      <c r="AL127" s="106"/>
      <c r="AM127" s="106"/>
      <c r="AN127" s="106"/>
      <c r="AO127" s="106"/>
      <c r="AP127" s="106"/>
      <c r="AQ127" s="106"/>
      <c r="AR127" s="106"/>
      <c r="AS127" s="106"/>
      <c r="AT127" s="106"/>
      <c r="AU127" s="106"/>
      <c r="AV127" s="106"/>
      <c r="AW127" s="106"/>
    </row>
    <row r="128" spans="1:49" ht="139.19999999999999" customHeight="1" thickBot="1" x14ac:dyDescent="0.4">
      <c r="A128" s="110"/>
      <c r="B128" s="929" t="s">
        <v>795</v>
      </c>
      <c r="C128" s="930" t="s">
        <v>1486</v>
      </c>
      <c r="D128" s="165" t="s">
        <v>794</v>
      </c>
      <c r="E128" s="134">
        <v>0.25</v>
      </c>
      <c r="F128" s="135">
        <v>647</v>
      </c>
      <c r="G128" s="130">
        <v>0</v>
      </c>
      <c r="H128" s="130">
        <v>0</v>
      </c>
      <c r="I128" s="136"/>
      <c r="J128" s="136">
        <f t="shared" si="110"/>
        <v>0</v>
      </c>
      <c r="K128" s="136"/>
      <c r="L128" s="136">
        <f t="shared" si="111"/>
        <v>0</v>
      </c>
      <c r="M128" s="130"/>
      <c r="N128" s="542">
        <v>0</v>
      </c>
      <c r="O128" s="542">
        <v>0</v>
      </c>
      <c r="P128" s="130"/>
      <c r="Q128" s="130"/>
      <c r="R128" s="130">
        <f t="shared" si="112"/>
        <v>0</v>
      </c>
      <c r="S128" s="130">
        <f t="shared" si="113"/>
        <v>0</v>
      </c>
      <c r="T128" s="137"/>
      <c r="U128" s="136"/>
      <c r="V128" s="138"/>
      <c r="W128" s="138">
        <f t="shared" si="115"/>
        <v>0</v>
      </c>
      <c r="X128" s="136"/>
      <c r="Y128" s="136">
        <v>0</v>
      </c>
      <c r="Z128" s="136"/>
      <c r="AA128" s="136">
        <f t="shared" si="116"/>
        <v>0</v>
      </c>
      <c r="AB128" s="117"/>
      <c r="AC128" s="106"/>
      <c r="AD128" s="106"/>
      <c r="AE128" s="106"/>
      <c r="AF128" s="106"/>
      <c r="AG128" s="106"/>
      <c r="AH128" s="106"/>
      <c r="AI128" s="106"/>
      <c r="AJ128" s="106"/>
      <c r="AK128" s="106"/>
      <c r="AL128" s="106"/>
      <c r="AM128" s="106"/>
      <c r="AN128" s="106"/>
      <c r="AO128" s="106"/>
      <c r="AP128" s="106"/>
      <c r="AQ128" s="106"/>
      <c r="AR128" s="106"/>
      <c r="AS128" s="106"/>
      <c r="AT128" s="106"/>
      <c r="AU128" s="106"/>
      <c r="AV128" s="106"/>
      <c r="AW128" s="106"/>
    </row>
    <row r="129" spans="1:49" ht="44.4" customHeight="1" thickBot="1" x14ac:dyDescent="0.4">
      <c r="A129" s="110"/>
      <c r="B129" s="968" t="s">
        <v>1651</v>
      </c>
      <c r="C129" s="969"/>
      <c r="D129" s="161"/>
      <c r="E129" s="126">
        <v>0.25</v>
      </c>
      <c r="F129" s="135"/>
      <c r="G129" s="130"/>
      <c r="H129" s="130"/>
      <c r="I129" s="129">
        <f>+AVERAGE(I130:I132)</f>
        <v>0.43333333333333335</v>
      </c>
      <c r="J129" s="129">
        <f>+AVERAGE(J130:J132)</f>
        <v>0.3</v>
      </c>
      <c r="K129" s="129">
        <f>+K130+K131+K132</f>
        <v>0.22499999999999998</v>
      </c>
      <c r="L129" s="129">
        <f>+L130+L131+L132</f>
        <v>0.22499999999999998</v>
      </c>
      <c r="M129" s="130"/>
      <c r="N129" s="130"/>
      <c r="O129" s="130"/>
      <c r="P129" s="130"/>
      <c r="Q129" s="130"/>
      <c r="R129" s="130"/>
      <c r="S129" s="130"/>
      <c r="T129" s="150">
        <f>+AVERAGE(T130:T132)</f>
        <v>0.86733333333333329</v>
      </c>
      <c r="U129" s="150">
        <f>+AVERAGE(U130:U132)</f>
        <v>0.51333333333333331</v>
      </c>
      <c r="V129" s="150">
        <f>+(V130+V131+V132)*E129</f>
        <v>0.175375</v>
      </c>
      <c r="W129" s="150">
        <f>+(W130+W131+W132)*F129</f>
        <v>0</v>
      </c>
      <c r="X129" s="129">
        <f>+AVERAGE(X130:X132)</f>
        <v>0.39353333333333335</v>
      </c>
      <c r="Y129" s="129">
        <f>+AVERAGE(Y130:Y132)</f>
        <v>0.44486666666666669</v>
      </c>
      <c r="Z129" s="129">
        <f>+(Z130+Z131+Z132)*E129</f>
        <v>6.511249999999999E-2</v>
      </c>
      <c r="AA129" s="129">
        <f>+(AA130+AA131+AA132)</f>
        <v>0.37595000000000001</v>
      </c>
      <c r="AB129" s="106"/>
      <c r="AC129" s="106"/>
      <c r="AD129" s="106"/>
      <c r="AE129" s="106"/>
      <c r="AF129" s="106"/>
      <c r="AG129" s="106"/>
      <c r="AH129" s="106"/>
      <c r="AI129" s="106"/>
      <c r="AJ129" s="106"/>
      <c r="AK129" s="106"/>
      <c r="AL129" s="106"/>
      <c r="AM129" s="106"/>
      <c r="AN129" s="106"/>
      <c r="AO129" s="106"/>
      <c r="AP129" s="106"/>
      <c r="AQ129" s="106"/>
      <c r="AR129" s="106"/>
      <c r="AS129" s="106"/>
      <c r="AT129" s="106"/>
      <c r="AU129" s="106"/>
      <c r="AV129" s="106"/>
      <c r="AW129" s="106"/>
    </row>
    <row r="130" spans="1:49" ht="89.4" customHeight="1" thickBot="1" x14ac:dyDescent="0.4">
      <c r="A130" s="110"/>
      <c r="B130" s="923" t="s">
        <v>796</v>
      </c>
      <c r="C130" s="924" t="s">
        <v>1487</v>
      </c>
      <c r="D130" s="165" t="s">
        <v>516</v>
      </c>
      <c r="E130" s="134">
        <v>0.05</v>
      </c>
      <c r="F130" s="135">
        <v>2</v>
      </c>
      <c r="G130" s="130">
        <v>1</v>
      </c>
      <c r="H130" s="130">
        <v>0</v>
      </c>
      <c r="I130" s="136">
        <f>+G130/F130</f>
        <v>0.5</v>
      </c>
      <c r="J130" s="136"/>
      <c r="K130" s="136"/>
      <c r="L130" s="136"/>
      <c r="M130" s="130">
        <v>1</v>
      </c>
      <c r="N130" s="542"/>
      <c r="O130" s="542"/>
      <c r="P130" s="542">
        <v>0</v>
      </c>
      <c r="Q130" s="130"/>
      <c r="R130" s="130">
        <f t="shared" ref="R130:R132" si="117">+N130+O130+P130+Q130</f>
        <v>0</v>
      </c>
      <c r="S130" s="130">
        <f t="shared" ref="S130:S132" si="118">+R130+M130</f>
        <v>1</v>
      </c>
      <c r="T130" s="136">
        <f>+(M130/G130)</f>
        <v>1</v>
      </c>
      <c r="U130" s="136"/>
      <c r="V130" s="138">
        <f>+T130*E130</f>
        <v>0.05</v>
      </c>
      <c r="W130" s="138"/>
      <c r="X130" s="136">
        <f>+M130/F130</f>
        <v>0.5</v>
      </c>
      <c r="Y130" s="136">
        <f>+S130/F130</f>
        <v>0.5</v>
      </c>
      <c r="Z130" s="136">
        <f>+X130*E130</f>
        <v>2.5000000000000001E-2</v>
      </c>
      <c r="AA130" s="136">
        <f>+Y130*E130</f>
        <v>2.5000000000000001E-2</v>
      </c>
      <c r="AB130" s="106"/>
      <c r="AC130" s="106"/>
      <c r="AD130" s="106"/>
      <c r="AE130" s="106"/>
      <c r="AF130" s="106"/>
      <c r="AG130" s="106"/>
      <c r="AH130" s="106"/>
      <c r="AI130" s="106"/>
      <c r="AJ130" s="106"/>
      <c r="AK130" s="106"/>
      <c r="AL130" s="106"/>
      <c r="AM130" s="106"/>
      <c r="AN130" s="106"/>
      <c r="AO130" s="106"/>
      <c r="AP130" s="106"/>
      <c r="AQ130" s="106"/>
      <c r="AR130" s="106"/>
      <c r="AS130" s="106"/>
      <c r="AT130" s="106"/>
      <c r="AU130" s="106"/>
      <c r="AV130" s="106"/>
      <c r="AW130" s="106"/>
    </row>
    <row r="131" spans="1:49" ht="103.2" customHeight="1" thickBot="1" x14ac:dyDescent="0.4">
      <c r="A131" s="110"/>
      <c r="B131" s="923" t="s">
        <v>797</v>
      </c>
      <c r="C131" s="924" t="s">
        <v>1488</v>
      </c>
      <c r="D131" s="165" t="s">
        <v>516</v>
      </c>
      <c r="E131" s="134">
        <v>0.2</v>
      </c>
      <c r="F131" s="135">
        <v>2</v>
      </c>
      <c r="G131" s="130">
        <v>1</v>
      </c>
      <c r="H131" s="130">
        <v>0</v>
      </c>
      <c r="I131" s="136">
        <f>+G131/F131</f>
        <v>0.5</v>
      </c>
      <c r="J131" s="136"/>
      <c r="K131" s="136"/>
      <c r="L131" s="136"/>
      <c r="M131" s="130">
        <v>1</v>
      </c>
      <c r="N131" s="542"/>
      <c r="O131" s="542"/>
      <c r="P131" s="542">
        <v>0</v>
      </c>
      <c r="Q131" s="130"/>
      <c r="R131" s="130">
        <f t="shared" si="117"/>
        <v>0</v>
      </c>
      <c r="S131" s="130">
        <f t="shared" si="118"/>
        <v>1</v>
      </c>
      <c r="T131" s="136">
        <f>+(M131/G131)</f>
        <v>1</v>
      </c>
      <c r="U131" s="136"/>
      <c r="V131" s="138">
        <f>+T131*E131</f>
        <v>0.2</v>
      </c>
      <c r="W131" s="138"/>
      <c r="X131" s="136">
        <f>+M131/F131</f>
        <v>0.5</v>
      </c>
      <c r="Y131" s="136">
        <f t="shared" ref="Y131:Y132" si="119">+S131/F131</f>
        <v>0.5</v>
      </c>
      <c r="Z131" s="136">
        <f>+X131*E131</f>
        <v>0.1</v>
      </c>
      <c r="AA131" s="136">
        <f>+Y131*E131</f>
        <v>0.1</v>
      </c>
      <c r="AB131" s="106"/>
      <c r="AC131" s="106"/>
      <c r="AD131" s="106"/>
      <c r="AE131" s="106"/>
      <c r="AF131" s="106"/>
      <c r="AG131" s="106"/>
      <c r="AH131" s="106"/>
      <c r="AI131" s="106"/>
      <c r="AJ131" s="106"/>
      <c r="AK131" s="106"/>
      <c r="AL131" s="106"/>
      <c r="AM131" s="106"/>
      <c r="AN131" s="106"/>
      <c r="AO131" s="106"/>
      <c r="AP131" s="106"/>
      <c r="AQ131" s="106"/>
      <c r="AR131" s="106"/>
      <c r="AS131" s="106"/>
      <c r="AT131" s="106"/>
      <c r="AU131" s="106"/>
      <c r="AV131" s="106"/>
      <c r="AW131" s="106"/>
    </row>
    <row r="132" spans="1:49" ht="145.19999999999999" customHeight="1" thickBot="1" x14ac:dyDescent="0.4">
      <c r="A132" s="110"/>
      <c r="B132" s="923" t="s">
        <v>798</v>
      </c>
      <c r="C132" s="924" t="s">
        <v>1489</v>
      </c>
      <c r="D132" s="165" t="s">
        <v>516</v>
      </c>
      <c r="E132" s="134">
        <v>0.75</v>
      </c>
      <c r="F132" s="135">
        <v>500</v>
      </c>
      <c r="G132" s="130">
        <v>150</v>
      </c>
      <c r="H132" s="130">
        <v>150</v>
      </c>
      <c r="I132" s="136">
        <f>+G132/F132</f>
        <v>0.3</v>
      </c>
      <c r="J132" s="136">
        <f t="shared" ref="J132" si="120">+H132/F132</f>
        <v>0.3</v>
      </c>
      <c r="K132" s="136">
        <f>+(G132/F132)*E132</f>
        <v>0.22499999999999998</v>
      </c>
      <c r="L132" s="136">
        <f t="shared" ref="L132" si="121">+(H132/F132)*E132</f>
        <v>0.22499999999999998</v>
      </c>
      <c r="M132" s="130">
        <v>90.3</v>
      </c>
      <c r="N132" s="542">
        <v>0</v>
      </c>
      <c r="O132" s="542">
        <v>25</v>
      </c>
      <c r="P132" s="542">
        <v>52</v>
      </c>
      <c r="Q132" s="130"/>
      <c r="R132" s="130">
        <f t="shared" si="117"/>
        <v>77</v>
      </c>
      <c r="S132" s="130">
        <f t="shared" si="118"/>
        <v>167.3</v>
      </c>
      <c r="T132" s="152">
        <f>+(M132/G132)</f>
        <v>0.60199999999999998</v>
      </c>
      <c r="U132" s="152">
        <f t="shared" ref="U132" si="122">+R132/H132</f>
        <v>0.51333333333333331</v>
      </c>
      <c r="V132" s="138">
        <f>+T132*E132</f>
        <v>0.45150000000000001</v>
      </c>
      <c r="W132" s="138">
        <f t="shared" ref="W132" si="123">+U132*E132</f>
        <v>0.38500000000000001</v>
      </c>
      <c r="X132" s="136">
        <f>+M132/F132</f>
        <v>0.18059999999999998</v>
      </c>
      <c r="Y132" s="136">
        <f t="shared" si="119"/>
        <v>0.33460000000000001</v>
      </c>
      <c r="Z132" s="136">
        <f>+X132*E132</f>
        <v>0.13544999999999999</v>
      </c>
      <c r="AA132" s="136">
        <f>+Y132*E132</f>
        <v>0.25095000000000001</v>
      </c>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row>
    <row r="133" spans="1:49" ht="15.75" customHeight="1" thickBot="1" x14ac:dyDescent="0.4">
      <c r="A133" s="106"/>
      <c r="B133" s="167"/>
      <c r="C133" s="167"/>
      <c r="D133" s="167"/>
      <c r="E133" s="168"/>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619"/>
      <c r="AB133" s="106"/>
      <c r="AC133" s="106"/>
      <c r="AD133" s="106"/>
      <c r="AE133" s="106"/>
      <c r="AF133" s="106"/>
      <c r="AG133" s="106"/>
      <c r="AH133" s="106"/>
      <c r="AI133" s="106"/>
      <c r="AJ133" s="106"/>
      <c r="AK133" s="106"/>
      <c r="AL133" s="106"/>
      <c r="AM133" s="106"/>
      <c r="AN133" s="106"/>
      <c r="AO133" s="106"/>
      <c r="AP133" s="106"/>
      <c r="AQ133" s="106"/>
      <c r="AR133" s="106"/>
      <c r="AS133" s="106"/>
      <c r="AT133" s="106"/>
      <c r="AU133" s="106"/>
      <c r="AV133" s="106"/>
      <c r="AW133" s="106"/>
    </row>
    <row r="134" spans="1:49" ht="15.75" customHeight="1" thickBot="1" x14ac:dyDescent="0.4">
      <c r="A134" s="106"/>
      <c r="B134" s="106"/>
      <c r="C134" s="106"/>
      <c r="D134" s="106"/>
      <c r="E134" s="169"/>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row>
    <row r="135" spans="1:49" ht="15.75" customHeight="1" thickBot="1" x14ac:dyDescent="0.4">
      <c r="A135" s="106"/>
      <c r="B135" s="106"/>
      <c r="C135" s="106"/>
      <c r="D135" s="106"/>
      <c r="E135" s="169"/>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c r="AM135" s="106"/>
      <c r="AN135" s="106"/>
      <c r="AO135" s="106"/>
      <c r="AP135" s="106"/>
      <c r="AQ135" s="106"/>
      <c r="AR135" s="106"/>
      <c r="AS135" s="106"/>
      <c r="AT135" s="106"/>
      <c r="AU135" s="106"/>
      <c r="AV135" s="106"/>
      <c r="AW135" s="106"/>
    </row>
    <row r="136" spans="1:49" ht="15.75" customHeight="1" thickBot="1" x14ac:dyDescent="0.4">
      <c r="A136" s="106"/>
      <c r="B136" s="170"/>
      <c r="C136" s="106"/>
      <c r="D136" s="106"/>
      <c r="E136" s="169"/>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row>
    <row r="137" spans="1:49" ht="15.75" customHeight="1" thickBot="1" x14ac:dyDescent="0.4">
      <c r="A137" s="106"/>
      <c r="B137" s="106"/>
      <c r="C137" s="106"/>
      <c r="D137" s="106"/>
      <c r="E137" s="169"/>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row>
    <row r="138" spans="1:49" ht="15.75" customHeight="1" thickBot="1" x14ac:dyDescent="0.4">
      <c r="A138" s="106"/>
      <c r="B138" s="106"/>
      <c r="C138" s="106"/>
      <c r="D138" s="106"/>
      <c r="E138" s="169"/>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row>
    <row r="139" spans="1:49" ht="15.75" customHeight="1" thickBot="1" x14ac:dyDescent="0.4">
      <c r="A139" s="106"/>
      <c r="B139" s="106"/>
      <c r="C139" s="106"/>
      <c r="D139" s="106"/>
      <c r="E139" s="169"/>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c r="AG139" s="106"/>
      <c r="AH139" s="106"/>
      <c r="AI139" s="106"/>
      <c r="AJ139" s="106"/>
      <c r="AK139" s="106"/>
      <c r="AL139" s="106"/>
      <c r="AM139" s="106"/>
      <c r="AN139" s="106"/>
      <c r="AO139" s="106"/>
      <c r="AP139" s="106"/>
      <c r="AQ139" s="106"/>
      <c r="AR139" s="106"/>
      <c r="AS139" s="106"/>
      <c r="AT139" s="106"/>
      <c r="AU139" s="106"/>
      <c r="AV139" s="106"/>
      <c r="AW139" s="106"/>
    </row>
    <row r="140" spans="1:49" ht="15.75" customHeight="1" thickBot="1" x14ac:dyDescent="0.4">
      <c r="A140" s="106"/>
      <c r="B140" s="106"/>
      <c r="C140" s="106"/>
      <c r="D140" s="106"/>
      <c r="E140" s="169"/>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106"/>
      <c r="AM140" s="106"/>
      <c r="AN140" s="106"/>
      <c r="AO140" s="106"/>
      <c r="AP140" s="106"/>
      <c r="AQ140" s="106"/>
      <c r="AR140" s="106"/>
      <c r="AS140" s="106"/>
      <c r="AT140" s="106"/>
      <c r="AU140" s="106"/>
      <c r="AV140" s="106"/>
      <c r="AW140" s="106"/>
    </row>
    <row r="141" spans="1:49" ht="15.75" customHeight="1" thickBot="1" x14ac:dyDescent="0.4">
      <c r="A141" s="106"/>
      <c r="B141" s="106"/>
      <c r="C141" s="106"/>
      <c r="D141" s="106"/>
      <c r="E141" s="169"/>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c r="AD141" s="106"/>
      <c r="AE141" s="106"/>
      <c r="AF141" s="106"/>
      <c r="AG141" s="106"/>
      <c r="AH141" s="106"/>
      <c r="AI141" s="106"/>
      <c r="AJ141" s="106"/>
      <c r="AK141" s="106"/>
      <c r="AL141" s="106"/>
      <c r="AM141" s="106"/>
      <c r="AN141" s="106"/>
      <c r="AO141" s="106"/>
      <c r="AP141" s="106"/>
      <c r="AQ141" s="106"/>
      <c r="AR141" s="106"/>
      <c r="AS141" s="106"/>
      <c r="AT141" s="106"/>
      <c r="AU141" s="106"/>
      <c r="AV141" s="106"/>
      <c r="AW141" s="106"/>
    </row>
    <row r="142" spans="1:49" ht="15.75" customHeight="1" thickBot="1" x14ac:dyDescent="0.4">
      <c r="A142" s="106"/>
      <c r="B142" s="106"/>
      <c r="C142" s="106"/>
      <c r="D142" s="106"/>
      <c r="E142" s="169"/>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6"/>
      <c r="AU142" s="106"/>
      <c r="AV142" s="106"/>
      <c r="AW142" s="106"/>
    </row>
    <row r="143" spans="1:49" ht="15.75" customHeight="1" thickBot="1" x14ac:dyDescent="0.4">
      <c r="A143" s="106"/>
      <c r="B143" s="106"/>
      <c r="C143" s="106"/>
      <c r="D143" s="106"/>
      <c r="E143" s="169"/>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c r="AD143" s="106"/>
      <c r="AE143" s="106"/>
      <c r="AF143" s="106"/>
      <c r="AG143" s="106"/>
      <c r="AH143" s="106"/>
      <c r="AI143" s="106"/>
      <c r="AJ143" s="106"/>
      <c r="AK143" s="106"/>
      <c r="AL143" s="106"/>
      <c r="AM143" s="106"/>
      <c r="AN143" s="106"/>
      <c r="AO143" s="106"/>
      <c r="AP143" s="106"/>
      <c r="AQ143" s="106"/>
      <c r="AR143" s="106"/>
      <c r="AS143" s="106"/>
      <c r="AT143" s="106"/>
      <c r="AU143" s="106"/>
      <c r="AV143" s="106"/>
      <c r="AW143" s="106"/>
    </row>
    <row r="144" spans="1:49" ht="15.75" customHeight="1" thickBot="1" x14ac:dyDescent="0.4">
      <c r="A144" s="106"/>
      <c r="B144" s="106"/>
      <c r="C144" s="106"/>
      <c r="D144" s="106"/>
      <c r="E144" s="169"/>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row>
    <row r="145" spans="1:49" ht="15.75" customHeight="1" thickBot="1" x14ac:dyDescent="0.4">
      <c r="A145" s="106"/>
      <c r="B145" s="106"/>
      <c r="C145" s="106"/>
      <c r="D145" s="106"/>
      <c r="E145" s="169"/>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row>
    <row r="146" spans="1:49" ht="15.75" customHeight="1" thickBot="1" x14ac:dyDescent="0.4">
      <c r="A146" s="106"/>
      <c r="B146" s="106"/>
      <c r="C146" s="106"/>
      <c r="D146" s="106"/>
      <c r="E146" s="169"/>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6"/>
      <c r="AJ146" s="106"/>
      <c r="AK146" s="106"/>
      <c r="AL146" s="106"/>
      <c r="AM146" s="106"/>
      <c r="AN146" s="106"/>
      <c r="AO146" s="106"/>
      <c r="AP146" s="106"/>
      <c r="AQ146" s="106"/>
      <c r="AR146" s="106"/>
      <c r="AS146" s="106"/>
      <c r="AT146" s="106"/>
      <c r="AU146" s="106"/>
      <c r="AV146" s="106"/>
      <c r="AW146" s="106"/>
    </row>
    <row r="147" spans="1:49" ht="15.75" customHeight="1" thickBot="1" x14ac:dyDescent="0.4">
      <c r="A147" s="106"/>
      <c r="B147" s="106"/>
      <c r="C147" s="106"/>
      <c r="D147" s="106"/>
      <c r="E147" s="169"/>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c r="AG147" s="106"/>
      <c r="AH147" s="106"/>
      <c r="AI147" s="106"/>
      <c r="AJ147" s="106"/>
      <c r="AK147" s="106"/>
      <c r="AL147" s="106"/>
      <c r="AM147" s="106"/>
      <c r="AN147" s="106"/>
      <c r="AO147" s="106"/>
      <c r="AP147" s="106"/>
      <c r="AQ147" s="106"/>
      <c r="AR147" s="106"/>
      <c r="AS147" s="106"/>
      <c r="AT147" s="106"/>
      <c r="AU147" s="106"/>
      <c r="AV147" s="106"/>
      <c r="AW147" s="106"/>
    </row>
    <row r="148" spans="1:49" ht="15.75" customHeight="1" thickBot="1" x14ac:dyDescent="0.4">
      <c r="A148" s="106"/>
      <c r="B148" s="106"/>
      <c r="C148" s="106"/>
      <c r="D148" s="106"/>
      <c r="E148" s="169"/>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c r="AK148" s="106"/>
      <c r="AL148" s="106"/>
      <c r="AM148" s="106"/>
      <c r="AN148" s="106"/>
      <c r="AO148" s="106"/>
      <c r="AP148" s="106"/>
      <c r="AQ148" s="106"/>
      <c r="AR148" s="106"/>
      <c r="AS148" s="106"/>
      <c r="AT148" s="106"/>
      <c r="AU148" s="106"/>
      <c r="AV148" s="106"/>
      <c r="AW148" s="106"/>
    </row>
    <row r="149" spans="1:49" ht="15.75" customHeight="1" thickBot="1" x14ac:dyDescent="0.4">
      <c r="A149" s="106"/>
      <c r="B149" s="106"/>
      <c r="C149" s="106"/>
      <c r="D149" s="106"/>
      <c r="E149" s="169"/>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c r="AD149" s="106"/>
      <c r="AE149" s="106"/>
      <c r="AF149" s="106"/>
      <c r="AG149" s="106"/>
      <c r="AH149" s="106"/>
      <c r="AI149" s="106"/>
      <c r="AJ149" s="106"/>
      <c r="AK149" s="106"/>
      <c r="AL149" s="106"/>
      <c r="AM149" s="106"/>
      <c r="AN149" s="106"/>
      <c r="AO149" s="106"/>
      <c r="AP149" s="106"/>
      <c r="AQ149" s="106"/>
      <c r="AR149" s="106"/>
      <c r="AS149" s="106"/>
      <c r="AT149" s="106"/>
      <c r="AU149" s="106"/>
      <c r="AV149" s="106"/>
      <c r="AW149" s="106"/>
    </row>
    <row r="150" spans="1:49" ht="15.75" customHeight="1" thickBot="1" x14ac:dyDescent="0.4">
      <c r="A150" s="106"/>
      <c r="B150" s="106"/>
      <c r="C150" s="106"/>
      <c r="D150" s="106"/>
      <c r="E150" s="169"/>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c r="AG150" s="106"/>
      <c r="AH150" s="106"/>
      <c r="AI150" s="106"/>
      <c r="AJ150" s="106"/>
      <c r="AK150" s="106"/>
      <c r="AL150" s="106"/>
      <c r="AM150" s="106"/>
      <c r="AN150" s="106"/>
      <c r="AO150" s="106"/>
      <c r="AP150" s="106"/>
      <c r="AQ150" s="106"/>
      <c r="AR150" s="106"/>
      <c r="AS150" s="106"/>
      <c r="AT150" s="106"/>
      <c r="AU150" s="106"/>
      <c r="AV150" s="106"/>
      <c r="AW150" s="106"/>
    </row>
    <row r="151" spans="1:49" ht="15.75" customHeight="1" thickBot="1" x14ac:dyDescent="0.4">
      <c r="A151" s="106"/>
      <c r="B151" s="106"/>
      <c r="C151" s="106"/>
      <c r="D151" s="106"/>
      <c r="E151" s="169"/>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6"/>
      <c r="AL151" s="106"/>
      <c r="AM151" s="106"/>
      <c r="AN151" s="106"/>
      <c r="AO151" s="106"/>
      <c r="AP151" s="106"/>
      <c r="AQ151" s="106"/>
      <c r="AR151" s="106"/>
      <c r="AS151" s="106"/>
      <c r="AT151" s="106"/>
      <c r="AU151" s="106"/>
      <c r="AV151" s="106"/>
      <c r="AW151" s="106"/>
    </row>
    <row r="152" spans="1:49" ht="15.75" customHeight="1" thickBot="1" x14ac:dyDescent="0.4">
      <c r="A152" s="106"/>
      <c r="B152" s="106"/>
      <c r="C152" s="106"/>
      <c r="D152" s="106"/>
      <c r="E152" s="169"/>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6"/>
      <c r="AM152" s="106"/>
      <c r="AN152" s="106"/>
      <c r="AO152" s="106"/>
      <c r="AP152" s="106"/>
      <c r="AQ152" s="106"/>
      <c r="AR152" s="106"/>
      <c r="AS152" s="106"/>
      <c r="AT152" s="106"/>
      <c r="AU152" s="106"/>
      <c r="AV152" s="106"/>
      <c r="AW152" s="106"/>
    </row>
    <row r="153" spans="1:49" ht="15.75" customHeight="1" thickBot="1" x14ac:dyDescent="0.4">
      <c r="A153" s="106"/>
      <c r="B153" s="106"/>
      <c r="C153" s="106"/>
      <c r="D153" s="106"/>
      <c r="E153" s="169"/>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c r="AM153" s="106"/>
      <c r="AN153" s="106"/>
      <c r="AO153" s="106"/>
      <c r="AP153" s="106"/>
      <c r="AQ153" s="106"/>
      <c r="AR153" s="106"/>
      <c r="AS153" s="106"/>
      <c r="AT153" s="106"/>
      <c r="AU153" s="106"/>
      <c r="AV153" s="106"/>
      <c r="AW153" s="106"/>
    </row>
    <row r="154" spans="1:49" ht="15.75" customHeight="1" thickBot="1" x14ac:dyDescent="0.4">
      <c r="A154" s="106"/>
      <c r="B154" s="106"/>
      <c r="C154" s="106"/>
      <c r="D154" s="106"/>
      <c r="E154" s="169"/>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c r="AM154" s="106"/>
      <c r="AN154" s="106"/>
      <c r="AO154" s="106"/>
      <c r="AP154" s="106"/>
      <c r="AQ154" s="106"/>
      <c r="AR154" s="106"/>
      <c r="AS154" s="106"/>
      <c r="AT154" s="106"/>
      <c r="AU154" s="106"/>
      <c r="AV154" s="106"/>
      <c r="AW154" s="106"/>
    </row>
    <row r="155" spans="1:49" ht="15.75" customHeight="1" thickBot="1" x14ac:dyDescent="0.4">
      <c r="A155" s="106"/>
      <c r="B155" s="106"/>
      <c r="C155" s="106"/>
      <c r="D155" s="106"/>
      <c r="E155" s="169"/>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c r="AM155" s="106"/>
      <c r="AN155" s="106"/>
      <c r="AO155" s="106"/>
      <c r="AP155" s="106"/>
      <c r="AQ155" s="106"/>
      <c r="AR155" s="106"/>
      <c r="AS155" s="106"/>
      <c r="AT155" s="106"/>
      <c r="AU155" s="106"/>
      <c r="AV155" s="106"/>
      <c r="AW155" s="106"/>
    </row>
    <row r="156" spans="1:49" ht="15.75" customHeight="1" thickBot="1" x14ac:dyDescent="0.4">
      <c r="A156" s="106"/>
      <c r="B156" s="106"/>
      <c r="C156" s="106"/>
      <c r="D156" s="106"/>
      <c r="E156" s="169"/>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c r="AM156" s="106"/>
      <c r="AN156" s="106"/>
      <c r="AO156" s="106"/>
      <c r="AP156" s="106"/>
      <c r="AQ156" s="106"/>
      <c r="AR156" s="106"/>
      <c r="AS156" s="106"/>
      <c r="AT156" s="106"/>
      <c r="AU156" s="106"/>
      <c r="AV156" s="106"/>
      <c r="AW156" s="106"/>
    </row>
    <row r="157" spans="1:49" ht="15.75" customHeight="1" thickBot="1" x14ac:dyDescent="0.4">
      <c r="A157" s="106"/>
      <c r="B157" s="106"/>
      <c r="C157" s="106"/>
      <c r="D157" s="106"/>
      <c r="E157" s="169"/>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row>
    <row r="158" spans="1:49" ht="15.75" customHeight="1" thickBot="1" x14ac:dyDescent="0.4">
      <c r="A158" s="106"/>
      <c r="B158" s="106"/>
      <c r="C158" s="106"/>
      <c r="D158" s="106"/>
      <c r="E158" s="169"/>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106"/>
      <c r="AE158" s="106"/>
      <c r="AF158" s="106"/>
      <c r="AG158" s="106"/>
      <c r="AH158" s="106"/>
      <c r="AI158" s="106"/>
      <c r="AJ158" s="106"/>
      <c r="AK158" s="106"/>
      <c r="AL158" s="106"/>
      <c r="AM158" s="106"/>
      <c r="AN158" s="106"/>
      <c r="AO158" s="106"/>
      <c r="AP158" s="106"/>
      <c r="AQ158" s="106"/>
      <c r="AR158" s="106"/>
      <c r="AS158" s="106"/>
      <c r="AT158" s="106"/>
      <c r="AU158" s="106"/>
      <c r="AV158" s="106"/>
      <c r="AW158" s="106"/>
    </row>
    <row r="159" spans="1:49" ht="15.75" customHeight="1" thickBot="1" x14ac:dyDescent="0.4">
      <c r="A159" s="106"/>
      <c r="B159" s="106"/>
      <c r="C159" s="106"/>
      <c r="D159" s="106"/>
      <c r="E159" s="169"/>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c r="AG159" s="106"/>
      <c r="AH159" s="106"/>
      <c r="AI159" s="106"/>
      <c r="AJ159" s="106"/>
      <c r="AK159" s="106"/>
      <c r="AL159" s="106"/>
      <c r="AM159" s="106"/>
      <c r="AN159" s="106"/>
      <c r="AO159" s="106"/>
      <c r="AP159" s="106"/>
      <c r="AQ159" s="106"/>
      <c r="AR159" s="106"/>
      <c r="AS159" s="106"/>
      <c r="AT159" s="106"/>
      <c r="AU159" s="106"/>
      <c r="AV159" s="106"/>
      <c r="AW159" s="106"/>
    </row>
    <row r="160" spans="1:49" ht="15.75" customHeight="1" thickBot="1" x14ac:dyDescent="0.4">
      <c r="A160" s="106"/>
      <c r="B160" s="106"/>
      <c r="C160" s="106"/>
      <c r="D160" s="106"/>
      <c r="E160" s="169"/>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c r="AM160" s="106"/>
      <c r="AN160" s="106"/>
      <c r="AO160" s="106"/>
      <c r="AP160" s="106"/>
      <c r="AQ160" s="106"/>
      <c r="AR160" s="106"/>
      <c r="AS160" s="106"/>
      <c r="AT160" s="106"/>
      <c r="AU160" s="106"/>
      <c r="AV160" s="106"/>
      <c r="AW160" s="106"/>
    </row>
    <row r="161" spans="1:49" ht="15.75" customHeight="1" thickBot="1" x14ac:dyDescent="0.4">
      <c r="A161" s="106"/>
      <c r="B161" s="106"/>
      <c r="C161" s="106"/>
      <c r="D161" s="106"/>
      <c r="E161" s="169"/>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06"/>
      <c r="AI161" s="106"/>
      <c r="AJ161" s="106"/>
      <c r="AK161" s="106"/>
      <c r="AL161" s="106"/>
      <c r="AM161" s="106"/>
      <c r="AN161" s="106"/>
      <c r="AO161" s="106"/>
      <c r="AP161" s="106"/>
      <c r="AQ161" s="106"/>
      <c r="AR161" s="106"/>
      <c r="AS161" s="106"/>
      <c r="AT161" s="106"/>
      <c r="AU161" s="106"/>
      <c r="AV161" s="106"/>
      <c r="AW161" s="106"/>
    </row>
    <row r="162" spans="1:49" ht="15.75" customHeight="1" thickBot="1" x14ac:dyDescent="0.4">
      <c r="A162" s="106"/>
      <c r="B162" s="106"/>
      <c r="C162" s="106"/>
      <c r="D162" s="106"/>
      <c r="E162" s="169"/>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c r="AM162" s="106"/>
      <c r="AN162" s="106"/>
      <c r="AO162" s="106"/>
      <c r="AP162" s="106"/>
      <c r="AQ162" s="106"/>
      <c r="AR162" s="106"/>
      <c r="AS162" s="106"/>
      <c r="AT162" s="106"/>
      <c r="AU162" s="106"/>
      <c r="AV162" s="106"/>
      <c r="AW162" s="106"/>
    </row>
    <row r="163" spans="1:49" ht="15.75" customHeight="1" thickBot="1" x14ac:dyDescent="0.4">
      <c r="A163" s="106"/>
      <c r="B163" s="106"/>
      <c r="C163" s="106"/>
      <c r="D163" s="106"/>
      <c r="E163" s="169"/>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c r="AG163" s="106"/>
      <c r="AH163" s="106"/>
      <c r="AI163" s="106"/>
      <c r="AJ163" s="106"/>
      <c r="AK163" s="106"/>
      <c r="AL163" s="106"/>
      <c r="AM163" s="106"/>
      <c r="AN163" s="106"/>
      <c r="AO163" s="106"/>
      <c r="AP163" s="106"/>
      <c r="AQ163" s="106"/>
      <c r="AR163" s="106"/>
      <c r="AS163" s="106"/>
      <c r="AT163" s="106"/>
      <c r="AU163" s="106"/>
      <c r="AV163" s="106"/>
      <c r="AW163" s="106"/>
    </row>
    <row r="164" spans="1:49" ht="15.75" customHeight="1" thickBot="1" x14ac:dyDescent="0.4">
      <c r="A164" s="106"/>
      <c r="B164" s="106"/>
      <c r="C164" s="106"/>
      <c r="D164" s="106"/>
      <c r="E164" s="169"/>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c r="AG164" s="106"/>
      <c r="AH164" s="106"/>
      <c r="AI164" s="106"/>
      <c r="AJ164" s="106"/>
      <c r="AK164" s="106"/>
      <c r="AL164" s="106"/>
      <c r="AM164" s="106"/>
      <c r="AN164" s="106"/>
      <c r="AO164" s="106"/>
      <c r="AP164" s="106"/>
      <c r="AQ164" s="106"/>
      <c r="AR164" s="106"/>
      <c r="AS164" s="106"/>
      <c r="AT164" s="106"/>
      <c r="AU164" s="106"/>
      <c r="AV164" s="106"/>
      <c r="AW164" s="106"/>
    </row>
    <row r="165" spans="1:49" ht="15.75" customHeight="1" thickBot="1" x14ac:dyDescent="0.4">
      <c r="A165" s="106"/>
      <c r="B165" s="106"/>
      <c r="C165" s="106"/>
      <c r="D165" s="106"/>
      <c r="E165" s="169"/>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c r="AG165" s="106"/>
      <c r="AH165" s="106"/>
      <c r="AI165" s="106"/>
      <c r="AJ165" s="106"/>
      <c r="AK165" s="106"/>
      <c r="AL165" s="106"/>
      <c r="AM165" s="106"/>
      <c r="AN165" s="106"/>
      <c r="AO165" s="106"/>
      <c r="AP165" s="106"/>
      <c r="AQ165" s="106"/>
      <c r="AR165" s="106"/>
      <c r="AS165" s="106"/>
      <c r="AT165" s="106"/>
      <c r="AU165" s="106"/>
      <c r="AV165" s="106"/>
      <c r="AW165" s="106"/>
    </row>
    <row r="166" spans="1:49" ht="15.75" customHeight="1" thickBot="1" x14ac:dyDescent="0.4">
      <c r="A166" s="106"/>
      <c r="B166" s="106"/>
      <c r="C166" s="106"/>
      <c r="D166" s="106"/>
      <c r="E166" s="169"/>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c r="AG166" s="106"/>
      <c r="AH166" s="106"/>
      <c r="AI166" s="106"/>
      <c r="AJ166" s="106"/>
      <c r="AK166" s="106"/>
      <c r="AL166" s="106"/>
      <c r="AM166" s="106"/>
      <c r="AN166" s="106"/>
      <c r="AO166" s="106"/>
      <c r="AP166" s="106"/>
      <c r="AQ166" s="106"/>
      <c r="AR166" s="106"/>
      <c r="AS166" s="106"/>
      <c r="AT166" s="106"/>
      <c r="AU166" s="106"/>
      <c r="AV166" s="106"/>
      <c r="AW166" s="106"/>
    </row>
    <row r="167" spans="1:49" ht="15.75" customHeight="1" thickBot="1" x14ac:dyDescent="0.4">
      <c r="A167" s="106"/>
      <c r="B167" s="106"/>
      <c r="C167" s="106"/>
      <c r="D167" s="106"/>
      <c r="E167" s="169"/>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c r="AG167" s="106"/>
      <c r="AH167" s="106"/>
      <c r="AI167" s="106"/>
      <c r="AJ167" s="106"/>
      <c r="AK167" s="106"/>
      <c r="AL167" s="106"/>
      <c r="AM167" s="106"/>
      <c r="AN167" s="106"/>
      <c r="AO167" s="106"/>
      <c r="AP167" s="106"/>
      <c r="AQ167" s="106"/>
      <c r="AR167" s="106"/>
      <c r="AS167" s="106"/>
      <c r="AT167" s="106"/>
      <c r="AU167" s="106"/>
      <c r="AV167" s="106"/>
      <c r="AW167" s="106"/>
    </row>
    <row r="168" spans="1:49" ht="15.75" customHeight="1" thickBot="1" x14ac:dyDescent="0.4">
      <c r="A168" s="106"/>
      <c r="B168" s="106"/>
      <c r="C168" s="106"/>
      <c r="D168" s="106"/>
      <c r="E168" s="169"/>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c r="AG168" s="106"/>
      <c r="AH168" s="106"/>
      <c r="AI168" s="106"/>
      <c r="AJ168" s="106"/>
      <c r="AK168" s="106"/>
      <c r="AL168" s="106"/>
      <c r="AM168" s="106"/>
      <c r="AN168" s="106"/>
      <c r="AO168" s="106"/>
      <c r="AP168" s="106"/>
      <c r="AQ168" s="106"/>
      <c r="AR168" s="106"/>
      <c r="AS168" s="106"/>
      <c r="AT168" s="106"/>
      <c r="AU168" s="106"/>
      <c r="AV168" s="106"/>
      <c r="AW168" s="106"/>
    </row>
    <row r="169" spans="1:49" ht="15.75" customHeight="1" thickBot="1" x14ac:dyDescent="0.4">
      <c r="A169" s="106"/>
      <c r="B169" s="106"/>
      <c r="C169" s="106"/>
      <c r="D169" s="106"/>
      <c r="E169" s="169"/>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c r="AG169" s="106"/>
      <c r="AH169" s="106"/>
      <c r="AI169" s="106"/>
      <c r="AJ169" s="106"/>
      <c r="AK169" s="106"/>
      <c r="AL169" s="106"/>
      <c r="AM169" s="106"/>
      <c r="AN169" s="106"/>
      <c r="AO169" s="106"/>
      <c r="AP169" s="106"/>
      <c r="AQ169" s="106"/>
      <c r="AR169" s="106"/>
      <c r="AS169" s="106"/>
      <c r="AT169" s="106"/>
      <c r="AU169" s="106"/>
      <c r="AV169" s="106"/>
      <c r="AW169" s="106"/>
    </row>
    <row r="170" spans="1:49" ht="15.75" customHeight="1" thickBot="1" x14ac:dyDescent="0.4">
      <c r="A170" s="106"/>
      <c r="B170" s="106"/>
      <c r="C170" s="106"/>
      <c r="D170" s="106"/>
      <c r="E170" s="169"/>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c r="AG170" s="106"/>
      <c r="AH170" s="106"/>
      <c r="AI170" s="106"/>
      <c r="AJ170" s="106"/>
      <c r="AK170" s="106"/>
      <c r="AL170" s="106"/>
      <c r="AM170" s="106"/>
      <c r="AN170" s="106"/>
      <c r="AO170" s="106"/>
      <c r="AP170" s="106"/>
      <c r="AQ170" s="106"/>
      <c r="AR170" s="106"/>
      <c r="AS170" s="106"/>
      <c r="AT170" s="106"/>
      <c r="AU170" s="106"/>
      <c r="AV170" s="106"/>
      <c r="AW170" s="106"/>
    </row>
    <row r="171" spans="1:49" ht="15.75" customHeight="1" thickBot="1" x14ac:dyDescent="0.4">
      <c r="A171" s="106"/>
      <c r="B171" s="106"/>
      <c r="C171" s="106"/>
      <c r="D171" s="106"/>
      <c r="E171" s="169"/>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c r="AG171" s="106"/>
      <c r="AH171" s="106"/>
      <c r="AI171" s="106"/>
      <c r="AJ171" s="106"/>
      <c r="AK171" s="106"/>
      <c r="AL171" s="106"/>
      <c r="AM171" s="106"/>
      <c r="AN171" s="106"/>
      <c r="AO171" s="106"/>
      <c r="AP171" s="106"/>
      <c r="AQ171" s="106"/>
      <c r="AR171" s="106"/>
      <c r="AS171" s="106"/>
      <c r="AT171" s="106"/>
      <c r="AU171" s="106"/>
      <c r="AV171" s="106"/>
      <c r="AW171" s="106"/>
    </row>
    <row r="172" spans="1:49" ht="15.75" customHeight="1" thickBot="1" x14ac:dyDescent="0.4">
      <c r="A172" s="106"/>
      <c r="B172" s="106"/>
      <c r="C172" s="106"/>
      <c r="D172" s="106"/>
      <c r="E172" s="169"/>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row>
    <row r="173" spans="1:49" ht="15.75" customHeight="1" thickBot="1" x14ac:dyDescent="0.4">
      <c r="A173" s="106"/>
      <c r="B173" s="106"/>
      <c r="C173" s="106"/>
      <c r="D173" s="106"/>
      <c r="E173" s="169"/>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row>
    <row r="174" spans="1:49" ht="15.75" customHeight="1" thickBot="1" x14ac:dyDescent="0.4">
      <c r="A174" s="106"/>
      <c r="B174" s="106"/>
      <c r="C174" s="106"/>
      <c r="D174" s="106"/>
      <c r="E174" s="169"/>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c r="AG174" s="106"/>
      <c r="AH174" s="106"/>
      <c r="AI174" s="106"/>
      <c r="AJ174" s="106"/>
      <c r="AK174" s="106"/>
      <c r="AL174" s="106"/>
      <c r="AM174" s="106"/>
      <c r="AN174" s="106"/>
      <c r="AO174" s="106"/>
      <c r="AP174" s="106"/>
      <c r="AQ174" s="106"/>
      <c r="AR174" s="106"/>
      <c r="AS174" s="106"/>
      <c r="AT174" s="106"/>
      <c r="AU174" s="106"/>
      <c r="AV174" s="106"/>
      <c r="AW174" s="106"/>
    </row>
    <row r="175" spans="1:49" ht="15.75" customHeight="1" thickBot="1" x14ac:dyDescent="0.4">
      <c r="A175" s="106"/>
      <c r="B175" s="106"/>
      <c r="C175" s="106"/>
      <c r="D175" s="106"/>
      <c r="E175" s="169"/>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c r="AG175" s="106"/>
      <c r="AH175" s="106"/>
      <c r="AI175" s="106"/>
      <c r="AJ175" s="106"/>
      <c r="AK175" s="106"/>
      <c r="AL175" s="106"/>
      <c r="AM175" s="106"/>
      <c r="AN175" s="106"/>
      <c r="AO175" s="106"/>
      <c r="AP175" s="106"/>
      <c r="AQ175" s="106"/>
      <c r="AR175" s="106"/>
      <c r="AS175" s="106"/>
      <c r="AT175" s="106"/>
      <c r="AU175" s="106"/>
      <c r="AV175" s="106"/>
      <c r="AW175" s="106"/>
    </row>
    <row r="176" spans="1:49" ht="15.75" customHeight="1" thickBot="1" x14ac:dyDescent="0.4">
      <c r="A176" s="106"/>
      <c r="B176" s="106"/>
      <c r="C176" s="106"/>
      <c r="D176" s="106"/>
      <c r="E176" s="169"/>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row>
    <row r="177" spans="1:49" ht="15.75" customHeight="1" thickBot="1" x14ac:dyDescent="0.4">
      <c r="A177" s="106"/>
      <c r="B177" s="106"/>
      <c r="C177" s="106"/>
      <c r="D177" s="106"/>
      <c r="E177" s="169"/>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c r="AL177" s="106"/>
      <c r="AM177" s="106"/>
      <c r="AN177" s="106"/>
      <c r="AO177" s="106"/>
      <c r="AP177" s="106"/>
      <c r="AQ177" s="106"/>
      <c r="AR177" s="106"/>
      <c r="AS177" s="106"/>
      <c r="AT177" s="106"/>
      <c r="AU177" s="106"/>
      <c r="AV177" s="106"/>
      <c r="AW177" s="106"/>
    </row>
    <row r="178" spans="1:49" ht="15.75" customHeight="1" thickBot="1" x14ac:dyDescent="0.4">
      <c r="A178" s="106"/>
      <c r="B178" s="106"/>
      <c r="C178" s="106"/>
      <c r="D178" s="106"/>
      <c r="E178" s="169"/>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c r="AG178" s="106"/>
      <c r="AH178" s="106"/>
      <c r="AI178" s="106"/>
      <c r="AJ178" s="106"/>
      <c r="AK178" s="106"/>
      <c r="AL178" s="106"/>
      <c r="AM178" s="106"/>
      <c r="AN178" s="106"/>
      <c r="AO178" s="106"/>
      <c r="AP178" s="106"/>
      <c r="AQ178" s="106"/>
      <c r="AR178" s="106"/>
      <c r="AS178" s="106"/>
      <c r="AT178" s="106"/>
      <c r="AU178" s="106"/>
      <c r="AV178" s="106"/>
      <c r="AW178" s="106"/>
    </row>
    <row r="179" spans="1:49" ht="15.75" customHeight="1" thickBot="1" x14ac:dyDescent="0.4">
      <c r="A179" s="106"/>
      <c r="B179" s="106"/>
      <c r="C179" s="106"/>
      <c r="D179" s="106"/>
      <c r="E179" s="169"/>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c r="AG179" s="106"/>
      <c r="AH179" s="106"/>
      <c r="AI179" s="106"/>
      <c r="AJ179" s="106"/>
      <c r="AK179" s="106"/>
      <c r="AL179" s="106"/>
      <c r="AM179" s="106"/>
      <c r="AN179" s="106"/>
      <c r="AO179" s="106"/>
      <c r="AP179" s="106"/>
      <c r="AQ179" s="106"/>
      <c r="AR179" s="106"/>
      <c r="AS179" s="106"/>
      <c r="AT179" s="106"/>
      <c r="AU179" s="106"/>
      <c r="AV179" s="106"/>
      <c r="AW179" s="106"/>
    </row>
    <row r="180" spans="1:49" ht="15.75" customHeight="1" thickBot="1" x14ac:dyDescent="0.4">
      <c r="A180" s="106"/>
      <c r="B180" s="106"/>
      <c r="C180" s="106"/>
      <c r="D180" s="106"/>
      <c r="E180" s="169"/>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c r="AG180" s="106"/>
      <c r="AH180" s="106"/>
      <c r="AI180" s="106"/>
      <c r="AJ180" s="106"/>
      <c r="AK180" s="106"/>
      <c r="AL180" s="106"/>
      <c r="AM180" s="106"/>
      <c r="AN180" s="106"/>
      <c r="AO180" s="106"/>
      <c r="AP180" s="106"/>
      <c r="AQ180" s="106"/>
      <c r="AR180" s="106"/>
      <c r="AS180" s="106"/>
      <c r="AT180" s="106"/>
      <c r="AU180" s="106"/>
      <c r="AV180" s="106"/>
      <c r="AW180" s="106"/>
    </row>
    <row r="181" spans="1:49" ht="15.75" customHeight="1" thickBot="1" x14ac:dyDescent="0.4">
      <c r="A181" s="106"/>
      <c r="B181" s="106"/>
      <c r="C181" s="106"/>
      <c r="D181" s="106"/>
      <c r="E181" s="169"/>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row>
    <row r="182" spans="1:49" ht="15.75" customHeight="1" thickBot="1" x14ac:dyDescent="0.4">
      <c r="A182" s="106"/>
      <c r="B182" s="106"/>
      <c r="C182" s="106"/>
      <c r="D182" s="106"/>
      <c r="E182" s="169"/>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c r="AU182" s="106"/>
      <c r="AV182" s="106"/>
      <c r="AW182" s="106"/>
    </row>
    <row r="183" spans="1:49" ht="15.75" customHeight="1" thickBot="1" x14ac:dyDescent="0.4">
      <c r="A183" s="106"/>
      <c r="B183" s="106"/>
      <c r="C183" s="106"/>
      <c r="D183" s="106"/>
      <c r="E183" s="169"/>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c r="AG183" s="106"/>
      <c r="AH183" s="106"/>
      <c r="AI183" s="106"/>
      <c r="AJ183" s="106"/>
      <c r="AK183" s="106"/>
      <c r="AL183" s="106"/>
      <c r="AM183" s="106"/>
      <c r="AN183" s="106"/>
      <c r="AO183" s="106"/>
      <c r="AP183" s="106"/>
      <c r="AQ183" s="106"/>
      <c r="AR183" s="106"/>
      <c r="AS183" s="106"/>
      <c r="AT183" s="106"/>
      <c r="AU183" s="106"/>
      <c r="AV183" s="106"/>
      <c r="AW183" s="106"/>
    </row>
    <row r="184" spans="1:49" ht="15.75" customHeight="1" thickBot="1" x14ac:dyDescent="0.4">
      <c r="A184" s="106"/>
      <c r="B184" s="106"/>
      <c r="C184" s="106"/>
      <c r="D184" s="106"/>
      <c r="E184" s="169"/>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c r="AG184" s="106"/>
      <c r="AH184" s="106"/>
      <c r="AI184" s="106"/>
      <c r="AJ184" s="106"/>
      <c r="AK184" s="106"/>
      <c r="AL184" s="106"/>
      <c r="AM184" s="106"/>
      <c r="AN184" s="106"/>
      <c r="AO184" s="106"/>
      <c r="AP184" s="106"/>
      <c r="AQ184" s="106"/>
      <c r="AR184" s="106"/>
      <c r="AS184" s="106"/>
      <c r="AT184" s="106"/>
      <c r="AU184" s="106"/>
      <c r="AV184" s="106"/>
      <c r="AW184" s="106"/>
    </row>
    <row r="185" spans="1:49" ht="15.75" customHeight="1" thickBot="1" x14ac:dyDescent="0.4">
      <c r="A185" s="106"/>
      <c r="B185" s="106"/>
      <c r="C185" s="106"/>
      <c r="D185" s="106"/>
      <c r="E185" s="169"/>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c r="AG185" s="106"/>
      <c r="AH185" s="106"/>
      <c r="AI185" s="106"/>
      <c r="AJ185" s="106"/>
      <c r="AK185" s="106"/>
      <c r="AL185" s="106"/>
      <c r="AM185" s="106"/>
      <c r="AN185" s="106"/>
      <c r="AO185" s="106"/>
      <c r="AP185" s="106"/>
      <c r="AQ185" s="106"/>
      <c r="AR185" s="106"/>
      <c r="AS185" s="106"/>
      <c r="AT185" s="106"/>
      <c r="AU185" s="106"/>
      <c r="AV185" s="106"/>
      <c r="AW185" s="106"/>
    </row>
    <row r="186" spans="1:49" ht="15.75" customHeight="1" thickBot="1" x14ac:dyDescent="0.4">
      <c r="A186" s="106"/>
      <c r="B186" s="106"/>
      <c r="C186" s="106"/>
      <c r="D186" s="106"/>
      <c r="E186" s="169"/>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c r="AG186" s="106"/>
      <c r="AH186" s="106"/>
      <c r="AI186" s="106"/>
      <c r="AJ186" s="106"/>
      <c r="AK186" s="106"/>
      <c r="AL186" s="106"/>
      <c r="AM186" s="106"/>
      <c r="AN186" s="106"/>
      <c r="AO186" s="106"/>
      <c r="AP186" s="106"/>
      <c r="AQ186" s="106"/>
      <c r="AR186" s="106"/>
      <c r="AS186" s="106"/>
      <c r="AT186" s="106"/>
      <c r="AU186" s="106"/>
      <c r="AV186" s="106"/>
      <c r="AW186" s="106"/>
    </row>
    <row r="187" spans="1:49" ht="15.75" customHeight="1" thickBot="1" x14ac:dyDescent="0.4">
      <c r="A187" s="106"/>
      <c r="B187" s="106"/>
      <c r="C187" s="106"/>
      <c r="D187" s="106"/>
      <c r="E187" s="169"/>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c r="AG187" s="106"/>
      <c r="AH187" s="106"/>
      <c r="AI187" s="106"/>
      <c r="AJ187" s="106"/>
      <c r="AK187" s="106"/>
      <c r="AL187" s="106"/>
      <c r="AM187" s="106"/>
      <c r="AN187" s="106"/>
      <c r="AO187" s="106"/>
      <c r="AP187" s="106"/>
      <c r="AQ187" s="106"/>
      <c r="AR187" s="106"/>
      <c r="AS187" s="106"/>
      <c r="AT187" s="106"/>
      <c r="AU187" s="106"/>
      <c r="AV187" s="106"/>
      <c r="AW187" s="106"/>
    </row>
    <row r="188" spans="1:49" ht="15.75" customHeight="1" thickBot="1" x14ac:dyDescent="0.4">
      <c r="A188" s="106"/>
      <c r="B188" s="106"/>
      <c r="C188" s="106"/>
      <c r="D188" s="106"/>
      <c r="E188" s="169"/>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06"/>
      <c r="AV188" s="106"/>
      <c r="AW188" s="106"/>
    </row>
    <row r="189" spans="1:49" ht="15.75" customHeight="1" thickBot="1" x14ac:dyDescent="0.4">
      <c r="A189" s="106"/>
      <c r="B189" s="106"/>
      <c r="C189" s="106"/>
      <c r="D189" s="106"/>
      <c r="E189" s="169"/>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c r="AG189" s="106"/>
      <c r="AH189" s="106"/>
      <c r="AI189" s="106"/>
      <c r="AJ189" s="106"/>
      <c r="AK189" s="106"/>
      <c r="AL189" s="106"/>
      <c r="AM189" s="106"/>
      <c r="AN189" s="106"/>
      <c r="AO189" s="106"/>
      <c r="AP189" s="106"/>
      <c r="AQ189" s="106"/>
      <c r="AR189" s="106"/>
      <c r="AS189" s="106"/>
      <c r="AT189" s="106"/>
      <c r="AU189" s="106"/>
      <c r="AV189" s="106"/>
      <c r="AW189" s="106"/>
    </row>
    <row r="190" spans="1:49" ht="15.75" customHeight="1" thickBot="1" x14ac:dyDescent="0.4">
      <c r="A190" s="106"/>
      <c r="B190" s="106"/>
      <c r="C190" s="106"/>
      <c r="D190" s="106"/>
      <c r="E190" s="169"/>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06"/>
      <c r="AJ190" s="106"/>
      <c r="AK190" s="106"/>
      <c r="AL190" s="106"/>
      <c r="AM190" s="106"/>
      <c r="AN190" s="106"/>
      <c r="AO190" s="106"/>
      <c r="AP190" s="106"/>
      <c r="AQ190" s="106"/>
      <c r="AR190" s="106"/>
      <c r="AS190" s="106"/>
      <c r="AT190" s="106"/>
      <c r="AU190" s="106"/>
      <c r="AV190" s="106"/>
      <c r="AW190" s="106"/>
    </row>
    <row r="191" spans="1:49" ht="15.75" customHeight="1" thickBot="1" x14ac:dyDescent="0.4">
      <c r="A191" s="106"/>
      <c r="B191" s="106"/>
      <c r="C191" s="106"/>
      <c r="D191" s="106"/>
      <c r="E191" s="169"/>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c r="AG191" s="106"/>
      <c r="AH191" s="106"/>
      <c r="AI191" s="106"/>
      <c r="AJ191" s="106"/>
      <c r="AK191" s="106"/>
      <c r="AL191" s="106"/>
      <c r="AM191" s="106"/>
      <c r="AN191" s="106"/>
      <c r="AO191" s="106"/>
      <c r="AP191" s="106"/>
      <c r="AQ191" s="106"/>
      <c r="AR191" s="106"/>
      <c r="AS191" s="106"/>
      <c r="AT191" s="106"/>
      <c r="AU191" s="106"/>
      <c r="AV191" s="106"/>
      <c r="AW191" s="106"/>
    </row>
    <row r="192" spans="1:49" ht="15.75" customHeight="1" thickBot="1" x14ac:dyDescent="0.4">
      <c r="A192" s="106"/>
      <c r="B192" s="106"/>
      <c r="C192" s="106"/>
      <c r="D192" s="106"/>
      <c r="E192" s="169"/>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c r="AG192" s="106"/>
      <c r="AH192" s="106"/>
      <c r="AI192" s="106"/>
      <c r="AJ192" s="106"/>
      <c r="AK192" s="106"/>
      <c r="AL192" s="106"/>
      <c r="AM192" s="106"/>
      <c r="AN192" s="106"/>
      <c r="AO192" s="106"/>
      <c r="AP192" s="106"/>
      <c r="AQ192" s="106"/>
      <c r="AR192" s="106"/>
      <c r="AS192" s="106"/>
      <c r="AT192" s="106"/>
      <c r="AU192" s="106"/>
      <c r="AV192" s="106"/>
      <c r="AW192" s="106"/>
    </row>
    <row r="193" spans="1:49" ht="15.75" customHeight="1" thickBot="1" x14ac:dyDescent="0.4">
      <c r="A193" s="106"/>
      <c r="B193" s="106"/>
      <c r="C193" s="106"/>
      <c r="D193" s="106"/>
      <c r="E193" s="169"/>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c r="AG193" s="106"/>
      <c r="AH193" s="106"/>
      <c r="AI193" s="106"/>
      <c r="AJ193" s="106"/>
      <c r="AK193" s="106"/>
      <c r="AL193" s="106"/>
      <c r="AM193" s="106"/>
      <c r="AN193" s="106"/>
      <c r="AO193" s="106"/>
      <c r="AP193" s="106"/>
      <c r="AQ193" s="106"/>
      <c r="AR193" s="106"/>
      <c r="AS193" s="106"/>
      <c r="AT193" s="106"/>
      <c r="AU193" s="106"/>
      <c r="AV193" s="106"/>
      <c r="AW193" s="106"/>
    </row>
    <row r="194" spans="1:49" ht="15.75" customHeight="1" thickBot="1" x14ac:dyDescent="0.4">
      <c r="A194" s="106"/>
      <c r="B194" s="106"/>
      <c r="C194" s="106"/>
      <c r="D194" s="106"/>
      <c r="E194" s="169"/>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c r="AG194" s="106"/>
      <c r="AH194" s="106"/>
      <c r="AI194" s="106"/>
      <c r="AJ194" s="106"/>
      <c r="AK194" s="106"/>
      <c r="AL194" s="106"/>
      <c r="AM194" s="106"/>
      <c r="AN194" s="106"/>
      <c r="AO194" s="106"/>
      <c r="AP194" s="106"/>
      <c r="AQ194" s="106"/>
      <c r="AR194" s="106"/>
      <c r="AS194" s="106"/>
      <c r="AT194" s="106"/>
      <c r="AU194" s="106"/>
      <c r="AV194" s="106"/>
      <c r="AW194" s="106"/>
    </row>
    <row r="195" spans="1:49" ht="15.75" customHeight="1" thickBot="1" x14ac:dyDescent="0.4">
      <c r="A195" s="106"/>
      <c r="B195" s="106"/>
      <c r="C195" s="106"/>
      <c r="D195" s="106"/>
      <c r="E195" s="169"/>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L195" s="106"/>
      <c r="AM195" s="106"/>
      <c r="AN195" s="106"/>
      <c r="AO195" s="106"/>
      <c r="AP195" s="106"/>
      <c r="AQ195" s="106"/>
      <c r="AR195" s="106"/>
      <c r="AS195" s="106"/>
      <c r="AT195" s="106"/>
      <c r="AU195" s="106"/>
      <c r="AV195" s="106"/>
      <c r="AW195" s="106"/>
    </row>
    <row r="196" spans="1:49" ht="15.75" customHeight="1" thickBot="1" x14ac:dyDescent="0.4">
      <c r="A196" s="106"/>
      <c r="B196" s="106"/>
      <c r="C196" s="106"/>
      <c r="D196" s="106"/>
      <c r="E196" s="169"/>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row>
    <row r="197" spans="1:49" ht="15.75" customHeight="1" thickBot="1" x14ac:dyDescent="0.4">
      <c r="A197" s="106"/>
      <c r="B197" s="106"/>
      <c r="C197" s="106"/>
      <c r="D197" s="106"/>
      <c r="E197" s="169"/>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c r="AK197" s="106"/>
      <c r="AL197" s="106"/>
      <c r="AM197" s="106"/>
      <c r="AN197" s="106"/>
      <c r="AO197" s="106"/>
      <c r="AP197" s="106"/>
      <c r="AQ197" s="106"/>
      <c r="AR197" s="106"/>
      <c r="AS197" s="106"/>
      <c r="AT197" s="106"/>
      <c r="AU197" s="106"/>
      <c r="AV197" s="106"/>
      <c r="AW197" s="106"/>
    </row>
    <row r="198" spans="1:49" ht="15.75" customHeight="1" thickBot="1" x14ac:dyDescent="0.4">
      <c r="A198" s="106"/>
      <c r="B198" s="106"/>
      <c r="C198" s="106"/>
      <c r="D198" s="106"/>
      <c r="E198" s="169"/>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06"/>
      <c r="AI198" s="106"/>
      <c r="AJ198" s="106"/>
      <c r="AK198" s="106"/>
      <c r="AL198" s="106"/>
      <c r="AM198" s="106"/>
      <c r="AN198" s="106"/>
      <c r="AO198" s="106"/>
      <c r="AP198" s="106"/>
      <c r="AQ198" s="106"/>
      <c r="AR198" s="106"/>
      <c r="AS198" s="106"/>
      <c r="AT198" s="106"/>
      <c r="AU198" s="106"/>
      <c r="AV198" s="106"/>
      <c r="AW198" s="106"/>
    </row>
    <row r="199" spans="1:49" ht="15.75" customHeight="1" thickBot="1" x14ac:dyDescent="0.4">
      <c r="A199" s="106"/>
      <c r="B199" s="106"/>
      <c r="C199" s="106"/>
      <c r="D199" s="106"/>
      <c r="E199" s="169"/>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06"/>
    </row>
    <row r="200" spans="1:49" ht="15.75" customHeight="1" thickBot="1" x14ac:dyDescent="0.4">
      <c r="A200" s="106"/>
      <c r="B200" s="106"/>
      <c r="C200" s="106"/>
      <c r="D200" s="106"/>
      <c r="E200" s="169"/>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c r="AG200" s="106"/>
      <c r="AH200" s="106"/>
      <c r="AI200" s="106"/>
      <c r="AJ200" s="106"/>
      <c r="AK200" s="106"/>
      <c r="AL200" s="106"/>
      <c r="AM200" s="106"/>
      <c r="AN200" s="106"/>
      <c r="AO200" s="106"/>
      <c r="AP200" s="106"/>
      <c r="AQ200" s="106"/>
      <c r="AR200" s="106"/>
      <c r="AS200" s="106"/>
      <c r="AT200" s="106"/>
      <c r="AU200" s="106"/>
      <c r="AV200" s="106"/>
      <c r="AW200" s="106"/>
    </row>
    <row r="201" spans="1:49" ht="15.75" customHeight="1" thickBot="1" x14ac:dyDescent="0.4">
      <c r="A201" s="106"/>
      <c r="B201" s="106"/>
      <c r="C201" s="106"/>
      <c r="D201" s="106"/>
      <c r="E201" s="169"/>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c r="AG201" s="106"/>
      <c r="AH201" s="106"/>
      <c r="AI201" s="106"/>
      <c r="AJ201" s="106"/>
      <c r="AK201" s="106"/>
      <c r="AL201" s="106"/>
      <c r="AM201" s="106"/>
      <c r="AN201" s="106"/>
      <c r="AO201" s="106"/>
      <c r="AP201" s="106"/>
      <c r="AQ201" s="106"/>
      <c r="AR201" s="106"/>
      <c r="AS201" s="106"/>
      <c r="AT201" s="106"/>
      <c r="AU201" s="106"/>
      <c r="AV201" s="106"/>
      <c r="AW201" s="106"/>
    </row>
    <row r="202" spans="1:49" ht="15.75" customHeight="1" thickBot="1" x14ac:dyDescent="0.4">
      <c r="A202" s="106"/>
      <c r="B202" s="106"/>
      <c r="C202" s="106"/>
      <c r="D202" s="106"/>
      <c r="E202" s="169"/>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6"/>
      <c r="AV202" s="106"/>
      <c r="AW202" s="106"/>
    </row>
    <row r="203" spans="1:49" ht="15.75" customHeight="1" thickBot="1" x14ac:dyDescent="0.4">
      <c r="A203" s="106"/>
      <c r="B203" s="106"/>
      <c r="C203" s="106"/>
      <c r="D203" s="106"/>
      <c r="E203" s="169"/>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c r="AG203" s="106"/>
      <c r="AH203" s="106"/>
      <c r="AI203" s="106"/>
      <c r="AJ203" s="106"/>
      <c r="AK203" s="106"/>
      <c r="AL203" s="106"/>
      <c r="AM203" s="106"/>
      <c r="AN203" s="106"/>
      <c r="AO203" s="106"/>
      <c r="AP203" s="106"/>
      <c r="AQ203" s="106"/>
      <c r="AR203" s="106"/>
      <c r="AS203" s="106"/>
      <c r="AT203" s="106"/>
      <c r="AU203" s="106"/>
      <c r="AV203" s="106"/>
      <c r="AW203" s="106"/>
    </row>
    <row r="204" spans="1:49" ht="15.75" customHeight="1" thickBot="1" x14ac:dyDescent="0.4">
      <c r="A204" s="106"/>
      <c r="B204" s="106"/>
      <c r="C204" s="106"/>
      <c r="D204" s="106"/>
      <c r="E204" s="169"/>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row>
    <row r="205" spans="1:49" ht="15.75" customHeight="1" thickBot="1" x14ac:dyDescent="0.4">
      <c r="A205" s="106"/>
      <c r="B205" s="106"/>
      <c r="C205" s="106"/>
      <c r="D205" s="106"/>
      <c r="E205" s="169"/>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06"/>
      <c r="AI205" s="106"/>
      <c r="AJ205" s="106"/>
      <c r="AK205" s="106"/>
      <c r="AL205" s="106"/>
      <c r="AM205" s="106"/>
      <c r="AN205" s="106"/>
      <c r="AO205" s="106"/>
      <c r="AP205" s="106"/>
      <c r="AQ205" s="106"/>
      <c r="AR205" s="106"/>
      <c r="AS205" s="106"/>
      <c r="AT205" s="106"/>
      <c r="AU205" s="106"/>
      <c r="AV205" s="106"/>
      <c r="AW205" s="106"/>
    </row>
    <row r="206" spans="1:49" ht="15.75" customHeight="1" thickBot="1" x14ac:dyDescent="0.4">
      <c r="A206" s="106"/>
      <c r="B206" s="106"/>
      <c r="C206" s="106"/>
      <c r="D206" s="106"/>
      <c r="E206" s="169"/>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c r="AG206" s="106"/>
      <c r="AH206" s="106"/>
      <c r="AI206" s="106"/>
      <c r="AJ206" s="106"/>
      <c r="AK206" s="106"/>
      <c r="AL206" s="106"/>
      <c r="AM206" s="106"/>
      <c r="AN206" s="106"/>
      <c r="AO206" s="106"/>
      <c r="AP206" s="106"/>
      <c r="AQ206" s="106"/>
      <c r="AR206" s="106"/>
      <c r="AS206" s="106"/>
      <c r="AT206" s="106"/>
      <c r="AU206" s="106"/>
      <c r="AV206" s="106"/>
      <c r="AW206" s="106"/>
    </row>
    <row r="207" spans="1:49" ht="15.75" customHeight="1" thickBot="1" x14ac:dyDescent="0.4">
      <c r="A207" s="106"/>
      <c r="B207" s="106"/>
      <c r="C207" s="106"/>
      <c r="D207" s="106"/>
      <c r="E207" s="169"/>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c r="AG207" s="106"/>
      <c r="AH207" s="106"/>
      <c r="AI207" s="106"/>
      <c r="AJ207" s="106"/>
      <c r="AK207" s="106"/>
      <c r="AL207" s="106"/>
      <c r="AM207" s="106"/>
      <c r="AN207" s="106"/>
      <c r="AO207" s="106"/>
      <c r="AP207" s="106"/>
      <c r="AQ207" s="106"/>
      <c r="AR207" s="106"/>
      <c r="AS207" s="106"/>
      <c r="AT207" s="106"/>
      <c r="AU207" s="106"/>
      <c r="AV207" s="106"/>
      <c r="AW207" s="106"/>
    </row>
    <row r="208" spans="1:49" ht="15.75" customHeight="1" thickBot="1" x14ac:dyDescent="0.4">
      <c r="A208" s="106"/>
      <c r="B208" s="106"/>
      <c r="C208" s="106"/>
      <c r="D208" s="106"/>
      <c r="E208" s="169"/>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c r="AG208" s="106"/>
      <c r="AH208" s="106"/>
      <c r="AI208" s="106"/>
      <c r="AJ208" s="106"/>
      <c r="AK208" s="106"/>
      <c r="AL208" s="106"/>
      <c r="AM208" s="106"/>
      <c r="AN208" s="106"/>
      <c r="AO208" s="106"/>
      <c r="AP208" s="106"/>
      <c r="AQ208" s="106"/>
      <c r="AR208" s="106"/>
      <c r="AS208" s="106"/>
      <c r="AT208" s="106"/>
      <c r="AU208" s="106"/>
      <c r="AV208" s="106"/>
      <c r="AW208" s="106"/>
    </row>
    <row r="209" spans="1:49" ht="15.75" customHeight="1" thickBot="1" x14ac:dyDescent="0.4">
      <c r="A209" s="106"/>
      <c r="B209" s="106"/>
      <c r="C209" s="106"/>
      <c r="D209" s="106"/>
      <c r="E209" s="169"/>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c r="AG209" s="106"/>
      <c r="AH209" s="106"/>
      <c r="AI209" s="106"/>
      <c r="AJ209" s="106"/>
      <c r="AK209" s="106"/>
      <c r="AL209" s="106"/>
      <c r="AM209" s="106"/>
      <c r="AN209" s="106"/>
      <c r="AO209" s="106"/>
      <c r="AP209" s="106"/>
      <c r="AQ209" s="106"/>
      <c r="AR209" s="106"/>
      <c r="AS209" s="106"/>
      <c r="AT209" s="106"/>
      <c r="AU209" s="106"/>
      <c r="AV209" s="106"/>
      <c r="AW209" s="106"/>
    </row>
    <row r="210" spans="1:49" ht="15.75" customHeight="1" thickBot="1" x14ac:dyDescent="0.4">
      <c r="A210" s="106"/>
      <c r="B210" s="106"/>
      <c r="C210" s="106"/>
      <c r="D210" s="106"/>
      <c r="E210" s="169"/>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c r="AG210" s="106"/>
      <c r="AH210" s="106"/>
      <c r="AI210" s="106"/>
      <c r="AJ210" s="106"/>
      <c r="AK210" s="106"/>
      <c r="AL210" s="106"/>
      <c r="AM210" s="106"/>
      <c r="AN210" s="106"/>
      <c r="AO210" s="106"/>
      <c r="AP210" s="106"/>
      <c r="AQ210" s="106"/>
      <c r="AR210" s="106"/>
      <c r="AS210" s="106"/>
      <c r="AT210" s="106"/>
      <c r="AU210" s="106"/>
      <c r="AV210" s="106"/>
      <c r="AW210" s="106"/>
    </row>
    <row r="211" spans="1:49" ht="15.75" customHeight="1" thickBot="1" x14ac:dyDescent="0.4">
      <c r="A211" s="106"/>
      <c r="B211" s="106"/>
      <c r="C211" s="106"/>
      <c r="D211" s="106"/>
      <c r="E211" s="169"/>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row>
    <row r="212" spans="1:49" ht="15.75" customHeight="1" thickBot="1" x14ac:dyDescent="0.4">
      <c r="A212" s="106"/>
      <c r="B212" s="106"/>
      <c r="C212" s="106"/>
      <c r="D212" s="106"/>
      <c r="E212" s="169"/>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c r="AG212" s="106"/>
      <c r="AH212" s="106"/>
      <c r="AI212" s="106"/>
      <c r="AJ212" s="106"/>
      <c r="AK212" s="106"/>
      <c r="AL212" s="106"/>
      <c r="AM212" s="106"/>
      <c r="AN212" s="106"/>
      <c r="AO212" s="106"/>
      <c r="AP212" s="106"/>
      <c r="AQ212" s="106"/>
      <c r="AR212" s="106"/>
      <c r="AS212" s="106"/>
      <c r="AT212" s="106"/>
      <c r="AU212" s="106"/>
      <c r="AV212" s="106"/>
      <c r="AW212" s="106"/>
    </row>
    <row r="213" spans="1:49" ht="15.75" customHeight="1" thickBot="1" x14ac:dyDescent="0.4">
      <c r="A213" s="106"/>
      <c r="B213" s="106"/>
      <c r="C213" s="106"/>
      <c r="D213" s="106"/>
      <c r="E213" s="169"/>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c r="AG213" s="106"/>
      <c r="AH213" s="106"/>
      <c r="AI213" s="106"/>
      <c r="AJ213" s="106"/>
      <c r="AK213" s="106"/>
      <c r="AL213" s="106"/>
      <c r="AM213" s="106"/>
      <c r="AN213" s="106"/>
      <c r="AO213" s="106"/>
      <c r="AP213" s="106"/>
      <c r="AQ213" s="106"/>
      <c r="AR213" s="106"/>
      <c r="AS213" s="106"/>
      <c r="AT213" s="106"/>
      <c r="AU213" s="106"/>
      <c r="AV213" s="106"/>
      <c r="AW213" s="106"/>
    </row>
    <row r="214" spans="1:49" ht="15.75" customHeight="1" thickBot="1" x14ac:dyDescent="0.4">
      <c r="A214" s="106"/>
      <c r="B214" s="106"/>
      <c r="C214" s="106"/>
      <c r="D214" s="106"/>
      <c r="E214" s="169"/>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row>
    <row r="215" spans="1:49" ht="15.75" customHeight="1" thickBot="1" x14ac:dyDescent="0.4">
      <c r="A215" s="106"/>
      <c r="B215" s="106"/>
      <c r="C215" s="106"/>
      <c r="D215" s="106"/>
      <c r="E215" s="169"/>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row>
    <row r="216" spans="1:49" ht="15.75" customHeight="1" thickBot="1" x14ac:dyDescent="0.4">
      <c r="A216" s="106"/>
      <c r="B216" s="106"/>
      <c r="C216" s="106"/>
      <c r="D216" s="106"/>
      <c r="E216" s="169"/>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c r="AD216" s="106"/>
      <c r="AE216" s="106"/>
      <c r="AF216" s="106"/>
      <c r="AG216" s="106"/>
      <c r="AH216" s="106"/>
      <c r="AI216" s="106"/>
      <c r="AJ216" s="106"/>
      <c r="AK216" s="106"/>
      <c r="AL216" s="106"/>
      <c r="AM216" s="106"/>
      <c r="AN216" s="106"/>
      <c r="AO216" s="106"/>
      <c r="AP216" s="106"/>
      <c r="AQ216" s="106"/>
      <c r="AR216" s="106"/>
      <c r="AS216" s="106"/>
      <c r="AT216" s="106"/>
      <c r="AU216" s="106"/>
      <c r="AV216" s="106"/>
      <c r="AW216" s="106"/>
    </row>
    <row r="217" spans="1:49" ht="15.75" customHeight="1" thickBot="1" x14ac:dyDescent="0.4">
      <c r="A217" s="106"/>
      <c r="B217" s="106"/>
      <c r="C217" s="106"/>
      <c r="D217" s="106"/>
      <c r="E217" s="169"/>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c r="AD217" s="106"/>
      <c r="AE217" s="106"/>
      <c r="AF217" s="106"/>
      <c r="AG217" s="106"/>
      <c r="AH217" s="106"/>
      <c r="AI217" s="106"/>
      <c r="AJ217" s="106"/>
      <c r="AK217" s="106"/>
      <c r="AL217" s="106"/>
      <c r="AM217" s="106"/>
      <c r="AN217" s="106"/>
      <c r="AO217" s="106"/>
      <c r="AP217" s="106"/>
      <c r="AQ217" s="106"/>
      <c r="AR217" s="106"/>
      <c r="AS217" s="106"/>
      <c r="AT217" s="106"/>
      <c r="AU217" s="106"/>
      <c r="AV217" s="106"/>
      <c r="AW217" s="106"/>
    </row>
    <row r="218" spans="1:49" ht="15.75" customHeight="1" thickBot="1" x14ac:dyDescent="0.4">
      <c r="A218" s="106"/>
      <c r="B218" s="106"/>
      <c r="C218" s="106"/>
      <c r="D218" s="106"/>
      <c r="E218" s="169"/>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c r="AD218" s="106"/>
      <c r="AE218" s="106"/>
      <c r="AF218" s="106"/>
      <c r="AG218" s="106"/>
      <c r="AH218" s="106"/>
      <c r="AI218" s="106"/>
      <c r="AJ218" s="106"/>
      <c r="AK218" s="106"/>
      <c r="AL218" s="106"/>
      <c r="AM218" s="106"/>
      <c r="AN218" s="106"/>
      <c r="AO218" s="106"/>
      <c r="AP218" s="106"/>
      <c r="AQ218" s="106"/>
      <c r="AR218" s="106"/>
      <c r="AS218" s="106"/>
      <c r="AT218" s="106"/>
      <c r="AU218" s="106"/>
      <c r="AV218" s="106"/>
      <c r="AW218" s="106"/>
    </row>
    <row r="219" spans="1:49" ht="15.75" customHeight="1" thickBot="1" x14ac:dyDescent="0.4">
      <c r="A219" s="106"/>
      <c r="B219" s="106"/>
      <c r="C219" s="106"/>
      <c r="D219" s="106"/>
      <c r="E219" s="169"/>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c r="AG219" s="106"/>
      <c r="AH219" s="106"/>
      <c r="AI219" s="106"/>
      <c r="AJ219" s="106"/>
      <c r="AK219" s="106"/>
      <c r="AL219" s="106"/>
      <c r="AM219" s="106"/>
      <c r="AN219" s="106"/>
      <c r="AO219" s="106"/>
      <c r="AP219" s="106"/>
      <c r="AQ219" s="106"/>
      <c r="AR219" s="106"/>
      <c r="AS219" s="106"/>
      <c r="AT219" s="106"/>
      <c r="AU219" s="106"/>
      <c r="AV219" s="106"/>
      <c r="AW219" s="106"/>
    </row>
    <row r="220" spans="1:49" ht="15.75" customHeight="1" thickBot="1" x14ac:dyDescent="0.4">
      <c r="A220" s="106"/>
      <c r="B220" s="106"/>
      <c r="C220" s="106"/>
      <c r="D220" s="106"/>
      <c r="E220" s="169"/>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row>
    <row r="221" spans="1:49" ht="15.75" customHeight="1" thickBot="1" x14ac:dyDescent="0.4">
      <c r="A221" s="106"/>
      <c r="B221" s="106"/>
      <c r="C221" s="106"/>
      <c r="D221" s="106"/>
      <c r="E221" s="169"/>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c r="AD221" s="106"/>
      <c r="AE221" s="106"/>
      <c r="AF221" s="106"/>
      <c r="AG221" s="106"/>
      <c r="AH221" s="106"/>
      <c r="AI221" s="106"/>
      <c r="AJ221" s="106"/>
      <c r="AK221" s="106"/>
      <c r="AL221" s="106"/>
      <c r="AM221" s="106"/>
      <c r="AN221" s="106"/>
      <c r="AO221" s="106"/>
      <c r="AP221" s="106"/>
      <c r="AQ221" s="106"/>
      <c r="AR221" s="106"/>
      <c r="AS221" s="106"/>
      <c r="AT221" s="106"/>
      <c r="AU221" s="106"/>
      <c r="AV221" s="106"/>
      <c r="AW221" s="106"/>
    </row>
    <row r="222" spans="1:49" ht="15.75" customHeight="1" thickBot="1" x14ac:dyDescent="0.4">
      <c r="A222" s="106"/>
      <c r="B222" s="106"/>
      <c r="C222" s="106"/>
      <c r="D222" s="106"/>
      <c r="E222" s="169"/>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c r="AD222" s="106"/>
      <c r="AE222" s="106"/>
      <c r="AF222" s="106"/>
      <c r="AG222" s="106"/>
      <c r="AH222" s="106"/>
      <c r="AI222" s="106"/>
      <c r="AJ222" s="106"/>
      <c r="AK222" s="106"/>
      <c r="AL222" s="106"/>
      <c r="AM222" s="106"/>
      <c r="AN222" s="106"/>
      <c r="AO222" s="106"/>
      <c r="AP222" s="106"/>
      <c r="AQ222" s="106"/>
      <c r="AR222" s="106"/>
      <c r="AS222" s="106"/>
      <c r="AT222" s="106"/>
      <c r="AU222" s="106"/>
      <c r="AV222" s="106"/>
      <c r="AW222" s="106"/>
    </row>
    <row r="223" spans="1:49" ht="15.75" customHeight="1" thickBot="1" x14ac:dyDescent="0.4">
      <c r="A223" s="106"/>
      <c r="B223" s="106"/>
      <c r="C223" s="106"/>
      <c r="D223" s="106"/>
      <c r="E223" s="169"/>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c r="AG223" s="106"/>
      <c r="AH223" s="106"/>
      <c r="AI223" s="106"/>
      <c r="AJ223" s="106"/>
      <c r="AK223" s="106"/>
      <c r="AL223" s="106"/>
      <c r="AM223" s="106"/>
      <c r="AN223" s="106"/>
      <c r="AO223" s="106"/>
      <c r="AP223" s="106"/>
      <c r="AQ223" s="106"/>
      <c r="AR223" s="106"/>
      <c r="AS223" s="106"/>
      <c r="AT223" s="106"/>
      <c r="AU223" s="106"/>
      <c r="AV223" s="106"/>
      <c r="AW223" s="106"/>
    </row>
    <row r="224" spans="1:49" ht="15.75" customHeight="1" thickBot="1" x14ac:dyDescent="0.4">
      <c r="A224" s="106"/>
      <c r="B224" s="106"/>
      <c r="C224" s="106"/>
      <c r="D224" s="106"/>
      <c r="E224" s="169"/>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c r="AG224" s="106"/>
      <c r="AH224" s="106"/>
      <c r="AI224" s="106"/>
      <c r="AJ224" s="106"/>
      <c r="AK224" s="106"/>
      <c r="AL224" s="106"/>
      <c r="AM224" s="106"/>
      <c r="AN224" s="106"/>
      <c r="AO224" s="106"/>
      <c r="AP224" s="106"/>
      <c r="AQ224" s="106"/>
      <c r="AR224" s="106"/>
      <c r="AS224" s="106"/>
      <c r="AT224" s="106"/>
      <c r="AU224" s="106"/>
      <c r="AV224" s="106"/>
      <c r="AW224" s="106"/>
    </row>
    <row r="225" spans="1:49" ht="15.75" customHeight="1" thickBot="1" x14ac:dyDescent="0.4">
      <c r="A225" s="106"/>
      <c r="B225" s="106"/>
      <c r="C225" s="106"/>
      <c r="D225" s="106"/>
      <c r="E225" s="169"/>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c r="AG225" s="106"/>
      <c r="AH225" s="106"/>
      <c r="AI225" s="106"/>
      <c r="AJ225" s="106"/>
      <c r="AK225" s="106"/>
      <c r="AL225" s="106"/>
      <c r="AM225" s="106"/>
      <c r="AN225" s="106"/>
      <c r="AO225" s="106"/>
      <c r="AP225" s="106"/>
      <c r="AQ225" s="106"/>
      <c r="AR225" s="106"/>
      <c r="AS225" s="106"/>
      <c r="AT225" s="106"/>
      <c r="AU225" s="106"/>
      <c r="AV225" s="106"/>
      <c r="AW225" s="106"/>
    </row>
    <row r="226" spans="1:49" ht="15.75" customHeight="1" thickBot="1" x14ac:dyDescent="0.4">
      <c r="A226" s="106"/>
      <c r="B226" s="106"/>
      <c r="C226" s="106"/>
      <c r="D226" s="106"/>
      <c r="E226" s="169"/>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c r="AG226" s="106"/>
      <c r="AH226" s="106"/>
      <c r="AI226" s="106"/>
      <c r="AJ226" s="106"/>
      <c r="AK226" s="106"/>
      <c r="AL226" s="106"/>
      <c r="AM226" s="106"/>
      <c r="AN226" s="106"/>
      <c r="AO226" s="106"/>
      <c r="AP226" s="106"/>
      <c r="AQ226" s="106"/>
      <c r="AR226" s="106"/>
      <c r="AS226" s="106"/>
      <c r="AT226" s="106"/>
      <c r="AU226" s="106"/>
      <c r="AV226" s="106"/>
      <c r="AW226" s="106"/>
    </row>
    <row r="227" spans="1:49" ht="15.75" customHeight="1" thickBot="1" x14ac:dyDescent="0.4">
      <c r="A227" s="106"/>
      <c r="B227" s="106"/>
      <c r="C227" s="106"/>
      <c r="D227" s="106"/>
      <c r="E227" s="169"/>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c r="AG227" s="106"/>
      <c r="AH227" s="106"/>
      <c r="AI227" s="106"/>
      <c r="AJ227" s="106"/>
      <c r="AK227" s="106"/>
      <c r="AL227" s="106"/>
      <c r="AM227" s="106"/>
      <c r="AN227" s="106"/>
      <c r="AO227" s="106"/>
      <c r="AP227" s="106"/>
      <c r="AQ227" s="106"/>
      <c r="AR227" s="106"/>
      <c r="AS227" s="106"/>
      <c r="AT227" s="106"/>
      <c r="AU227" s="106"/>
      <c r="AV227" s="106"/>
      <c r="AW227" s="106"/>
    </row>
    <row r="228" spans="1:49" ht="15.75" customHeight="1" thickBot="1" x14ac:dyDescent="0.4">
      <c r="A228" s="106"/>
      <c r="B228" s="106"/>
      <c r="C228" s="106"/>
      <c r="D228" s="106"/>
      <c r="E228" s="169"/>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c r="AG228" s="106"/>
      <c r="AH228" s="106"/>
      <c r="AI228" s="106"/>
      <c r="AJ228" s="106"/>
      <c r="AK228" s="106"/>
      <c r="AL228" s="106"/>
      <c r="AM228" s="106"/>
      <c r="AN228" s="106"/>
      <c r="AO228" s="106"/>
      <c r="AP228" s="106"/>
      <c r="AQ228" s="106"/>
      <c r="AR228" s="106"/>
      <c r="AS228" s="106"/>
      <c r="AT228" s="106"/>
      <c r="AU228" s="106"/>
      <c r="AV228" s="106"/>
      <c r="AW228" s="106"/>
    </row>
    <row r="229" spans="1:49" ht="15.75" customHeight="1" thickBot="1" x14ac:dyDescent="0.4">
      <c r="A229" s="106"/>
      <c r="B229" s="106"/>
      <c r="C229" s="106"/>
      <c r="D229" s="106"/>
      <c r="E229" s="169"/>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c r="AG229" s="106"/>
      <c r="AH229" s="106"/>
      <c r="AI229" s="106"/>
      <c r="AJ229" s="106"/>
      <c r="AK229" s="106"/>
      <c r="AL229" s="106"/>
      <c r="AM229" s="106"/>
      <c r="AN229" s="106"/>
      <c r="AO229" s="106"/>
      <c r="AP229" s="106"/>
      <c r="AQ229" s="106"/>
      <c r="AR229" s="106"/>
      <c r="AS229" s="106"/>
      <c r="AT229" s="106"/>
      <c r="AU229" s="106"/>
      <c r="AV229" s="106"/>
      <c r="AW229" s="106"/>
    </row>
    <row r="230" spans="1:49" ht="15.75" customHeight="1" thickBot="1" x14ac:dyDescent="0.4">
      <c r="A230" s="106"/>
      <c r="B230" s="106"/>
      <c r="C230" s="106"/>
      <c r="D230" s="106"/>
      <c r="E230" s="169"/>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06"/>
      <c r="AV230" s="106"/>
      <c r="AW230" s="106"/>
    </row>
    <row r="231" spans="1:49" ht="15.75" customHeight="1" thickBot="1" x14ac:dyDescent="0.4">
      <c r="A231" s="106"/>
      <c r="B231" s="106"/>
      <c r="C231" s="106"/>
      <c r="D231" s="106"/>
      <c r="E231" s="169"/>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c r="AG231" s="106"/>
      <c r="AH231" s="106"/>
      <c r="AI231" s="106"/>
      <c r="AJ231" s="106"/>
      <c r="AK231" s="106"/>
      <c r="AL231" s="106"/>
      <c r="AM231" s="106"/>
      <c r="AN231" s="106"/>
      <c r="AO231" s="106"/>
      <c r="AP231" s="106"/>
      <c r="AQ231" s="106"/>
      <c r="AR231" s="106"/>
      <c r="AS231" s="106"/>
      <c r="AT231" s="106"/>
      <c r="AU231" s="106"/>
      <c r="AV231" s="106"/>
      <c r="AW231" s="106"/>
    </row>
    <row r="232" spans="1:49" ht="15.75" customHeight="1" thickBot="1" x14ac:dyDescent="0.4">
      <c r="A232" s="106"/>
      <c r="B232" s="106"/>
      <c r="C232" s="106"/>
      <c r="D232" s="106"/>
      <c r="E232" s="169"/>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c r="AG232" s="106"/>
      <c r="AH232" s="106"/>
      <c r="AI232" s="106"/>
      <c r="AJ232" s="106"/>
      <c r="AK232" s="106"/>
      <c r="AL232" s="106"/>
      <c r="AM232" s="106"/>
      <c r="AN232" s="106"/>
      <c r="AO232" s="106"/>
      <c r="AP232" s="106"/>
      <c r="AQ232" s="106"/>
      <c r="AR232" s="106"/>
      <c r="AS232" s="106"/>
      <c r="AT232" s="106"/>
      <c r="AU232" s="106"/>
      <c r="AV232" s="106"/>
      <c r="AW232" s="106"/>
    </row>
    <row r="233" spans="1:49" ht="15.75" customHeight="1" thickBot="1" x14ac:dyDescent="0.4">
      <c r="A233" s="106"/>
      <c r="B233" s="106"/>
      <c r="C233" s="106"/>
      <c r="D233" s="106"/>
      <c r="E233" s="169"/>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c r="AG233" s="106"/>
      <c r="AH233" s="106"/>
      <c r="AI233" s="106"/>
      <c r="AJ233" s="106"/>
      <c r="AK233" s="106"/>
      <c r="AL233" s="106"/>
      <c r="AM233" s="106"/>
      <c r="AN233" s="106"/>
      <c r="AO233" s="106"/>
      <c r="AP233" s="106"/>
      <c r="AQ233" s="106"/>
      <c r="AR233" s="106"/>
      <c r="AS233" s="106"/>
      <c r="AT233" s="106"/>
      <c r="AU233" s="106"/>
      <c r="AV233" s="106"/>
      <c r="AW233" s="106"/>
    </row>
    <row r="234" spans="1:49" ht="15.75" customHeight="1" thickBot="1" x14ac:dyDescent="0.4">
      <c r="A234" s="106"/>
      <c r="B234" s="106"/>
      <c r="C234" s="106"/>
      <c r="D234" s="106"/>
      <c r="E234" s="169"/>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6"/>
      <c r="AO234" s="106"/>
      <c r="AP234" s="106"/>
      <c r="AQ234" s="106"/>
      <c r="AR234" s="106"/>
      <c r="AS234" s="106"/>
      <c r="AT234" s="106"/>
      <c r="AU234" s="106"/>
      <c r="AV234" s="106"/>
      <c r="AW234" s="106"/>
    </row>
    <row r="235" spans="1:49" ht="15.75" customHeight="1" thickBot="1" x14ac:dyDescent="0.4">
      <c r="A235" s="106"/>
      <c r="B235" s="106"/>
      <c r="C235" s="106"/>
      <c r="D235" s="106"/>
      <c r="E235" s="169"/>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c r="AG235" s="106"/>
      <c r="AH235" s="106"/>
      <c r="AI235" s="106"/>
      <c r="AJ235" s="106"/>
      <c r="AK235" s="106"/>
      <c r="AL235" s="106"/>
      <c r="AM235" s="106"/>
      <c r="AN235" s="106"/>
      <c r="AO235" s="106"/>
      <c r="AP235" s="106"/>
      <c r="AQ235" s="106"/>
      <c r="AR235" s="106"/>
      <c r="AS235" s="106"/>
      <c r="AT235" s="106"/>
      <c r="AU235" s="106"/>
      <c r="AV235" s="106"/>
      <c r="AW235" s="106"/>
    </row>
    <row r="236" spans="1:49" ht="15.75" customHeight="1" thickBot="1" x14ac:dyDescent="0.4">
      <c r="A236" s="106"/>
      <c r="B236" s="106"/>
      <c r="C236" s="106"/>
      <c r="D236" s="106"/>
      <c r="E236" s="169"/>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6"/>
      <c r="AL236" s="106"/>
      <c r="AM236" s="106"/>
      <c r="AN236" s="106"/>
      <c r="AO236" s="106"/>
      <c r="AP236" s="106"/>
      <c r="AQ236" s="106"/>
      <c r="AR236" s="106"/>
      <c r="AS236" s="106"/>
      <c r="AT236" s="106"/>
      <c r="AU236" s="106"/>
      <c r="AV236" s="106"/>
      <c r="AW236" s="106"/>
    </row>
    <row r="237" spans="1:49" ht="15.75" customHeight="1" thickBot="1" x14ac:dyDescent="0.4">
      <c r="A237" s="106"/>
      <c r="B237" s="106"/>
      <c r="C237" s="106"/>
      <c r="D237" s="106"/>
      <c r="E237" s="169"/>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6"/>
      <c r="AL237" s="106"/>
      <c r="AM237" s="106"/>
      <c r="AN237" s="106"/>
      <c r="AO237" s="106"/>
      <c r="AP237" s="106"/>
      <c r="AQ237" s="106"/>
      <c r="AR237" s="106"/>
      <c r="AS237" s="106"/>
      <c r="AT237" s="106"/>
      <c r="AU237" s="106"/>
      <c r="AV237" s="106"/>
      <c r="AW237" s="106"/>
    </row>
    <row r="238" spans="1:49" ht="15.75" customHeight="1" thickBot="1" x14ac:dyDescent="0.4">
      <c r="A238" s="106"/>
      <c r="B238" s="106"/>
      <c r="C238" s="106"/>
      <c r="D238" s="106"/>
      <c r="E238" s="169"/>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c r="AG238" s="106"/>
      <c r="AH238" s="106"/>
      <c r="AI238" s="106"/>
      <c r="AJ238" s="106"/>
      <c r="AK238" s="106"/>
      <c r="AL238" s="106"/>
      <c r="AM238" s="106"/>
      <c r="AN238" s="106"/>
      <c r="AO238" s="106"/>
      <c r="AP238" s="106"/>
      <c r="AQ238" s="106"/>
      <c r="AR238" s="106"/>
      <c r="AS238" s="106"/>
      <c r="AT238" s="106"/>
      <c r="AU238" s="106"/>
      <c r="AV238" s="106"/>
      <c r="AW238" s="106"/>
    </row>
    <row r="239" spans="1:49" ht="15.75" customHeight="1" thickBot="1" x14ac:dyDescent="0.4">
      <c r="A239" s="106"/>
      <c r="B239" s="106"/>
      <c r="C239" s="106"/>
      <c r="D239" s="106"/>
      <c r="E239" s="169"/>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6"/>
      <c r="AL239" s="106"/>
      <c r="AM239" s="106"/>
      <c r="AN239" s="106"/>
      <c r="AO239" s="106"/>
      <c r="AP239" s="106"/>
      <c r="AQ239" s="106"/>
      <c r="AR239" s="106"/>
      <c r="AS239" s="106"/>
      <c r="AT239" s="106"/>
      <c r="AU239" s="106"/>
      <c r="AV239" s="106"/>
      <c r="AW239" s="106"/>
    </row>
    <row r="240" spans="1:49" ht="15.75" customHeight="1" thickBot="1" x14ac:dyDescent="0.4">
      <c r="A240" s="106"/>
      <c r="B240" s="106"/>
      <c r="C240" s="106"/>
      <c r="D240" s="106"/>
      <c r="E240" s="169"/>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6"/>
      <c r="AL240" s="106"/>
      <c r="AM240" s="106"/>
      <c r="AN240" s="106"/>
      <c r="AO240" s="106"/>
      <c r="AP240" s="106"/>
      <c r="AQ240" s="106"/>
      <c r="AR240" s="106"/>
      <c r="AS240" s="106"/>
      <c r="AT240" s="106"/>
      <c r="AU240" s="106"/>
      <c r="AV240" s="106"/>
      <c r="AW240" s="106"/>
    </row>
    <row r="241" spans="1:49" ht="15.75" customHeight="1" thickBot="1" x14ac:dyDescent="0.4">
      <c r="A241" s="106"/>
      <c r="B241" s="106"/>
      <c r="C241" s="106"/>
      <c r="D241" s="106"/>
      <c r="E241" s="169"/>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6"/>
      <c r="AL241" s="106"/>
      <c r="AM241" s="106"/>
      <c r="AN241" s="106"/>
      <c r="AO241" s="106"/>
      <c r="AP241" s="106"/>
      <c r="AQ241" s="106"/>
      <c r="AR241" s="106"/>
      <c r="AS241" s="106"/>
      <c r="AT241" s="106"/>
      <c r="AU241" s="106"/>
      <c r="AV241" s="106"/>
      <c r="AW241" s="106"/>
    </row>
    <row r="242" spans="1:49" ht="15.75" customHeight="1" thickBot="1" x14ac:dyDescent="0.4">
      <c r="A242" s="106"/>
      <c r="B242" s="106"/>
      <c r="C242" s="106"/>
      <c r="D242" s="106"/>
      <c r="E242" s="169"/>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6"/>
      <c r="AL242" s="106"/>
      <c r="AM242" s="106"/>
      <c r="AN242" s="106"/>
      <c r="AO242" s="106"/>
      <c r="AP242" s="106"/>
      <c r="AQ242" s="106"/>
      <c r="AR242" s="106"/>
      <c r="AS242" s="106"/>
      <c r="AT242" s="106"/>
      <c r="AU242" s="106"/>
      <c r="AV242" s="106"/>
      <c r="AW242" s="106"/>
    </row>
    <row r="243" spans="1:49" ht="15.75" customHeight="1" thickBot="1" x14ac:dyDescent="0.4">
      <c r="A243" s="106"/>
      <c r="B243" s="106"/>
      <c r="C243" s="106"/>
      <c r="D243" s="106"/>
      <c r="E243" s="169"/>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6"/>
      <c r="AL243" s="106"/>
      <c r="AM243" s="106"/>
      <c r="AN243" s="106"/>
      <c r="AO243" s="106"/>
      <c r="AP243" s="106"/>
      <c r="AQ243" s="106"/>
      <c r="AR243" s="106"/>
      <c r="AS243" s="106"/>
      <c r="AT243" s="106"/>
      <c r="AU243" s="106"/>
      <c r="AV243" s="106"/>
      <c r="AW243" s="106"/>
    </row>
    <row r="244" spans="1:49" ht="15.75" customHeight="1" thickBot="1" x14ac:dyDescent="0.4">
      <c r="A244" s="106"/>
      <c r="B244" s="106"/>
      <c r="C244" s="106"/>
      <c r="D244" s="106"/>
      <c r="E244" s="169"/>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6"/>
      <c r="AL244" s="106"/>
      <c r="AM244" s="106"/>
      <c r="AN244" s="106"/>
      <c r="AO244" s="106"/>
      <c r="AP244" s="106"/>
      <c r="AQ244" s="106"/>
      <c r="AR244" s="106"/>
      <c r="AS244" s="106"/>
      <c r="AT244" s="106"/>
      <c r="AU244" s="106"/>
      <c r="AV244" s="106"/>
      <c r="AW244" s="106"/>
    </row>
    <row r="245" spans="1:49" ht="15.75" customHeight="1" thickBot="1" x14ac:dyDescent="0.4">
      <c r="A245" s="106"/>
      <c r="B245" s="106"/>
      <c r="C245" s="106"/>
      <c r="D245" s="106"/>
      <c r="E245" s="169"/>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6"/>
      <c r="AL245" s="106"/>
      <c r="AM245" s="106"/>
      <c r="AN245" s="106"/>
      <c r="AO245" s="106"/>
      <c r="AP245" s="106"/>
      <c r="AQ245" s="106"/>
      <c r="AR245" s="106"/>
      <c r="AS245" s="106"/>
      <c r="AT245" s="106"/>
      <c r="AU245" s="106"/>
      <c r="AV245" s="106"/>
      <c r="AW245" s="106"/>
    </row>
    <row r="246" spans="1:49" ht="15.75" customHeight="1" thickBot="1" x14ac:dyDescent="0.4">
      <c r="A246" s="106"/>
      <c r="B246" s="106"/>
      <c r="C246" s="106"/>
      <c r="D246" s="106"/>
      <c r="E246" s="169"/>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6"/>
      <c r="AL246" s="106"/>
      <c r="AM246" s="106"/>
      <c r="AN246" s="106"/>
      <c r="AO246" s="106"/>
      <c r="AP246" s="106"/>
      <c r="AQ246" s="106"/>
      <c r="AR246" s="106"/>
      <c r="AS246" s="106"/>
      <c r="AT246" s="106"/>
      <c r="AU246" s="106"/>
      <c r="AV246" s="106"/>
      <c r="AW246" s="106"/>
    </row>
    <row r="247" spans="1:49" ht="15.75" customHeight="1" thickBot="1" x14ac:dyDescent="0.4">
      <c r="A247" s="106"/>
      <c r="B247" s="106"/>
      <c r="C247" s="106"/>
      <c r="D247" s="106"/>
      <c r="E247" s="169"/>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6"/>
      <c r="AL247" s="106"/>
      <c r="AM247" s="106"/>
      <c r="AN247" s="106"/>
      <c r="AO247" s="106"/>
      <c r="AP247" s="106"/>
      <c r="AQ247" s="106"/>
      <c r="AR247" s="106"/>
      <c r="AS247" s="106"/>
      <c r="AT247" s="106"/>
      <c r="AU247" s="106"/>
      <c r="AV247" s="106"/>
      <c r="AW247" s="106"/>
    </row>
    <row r="248" spans="1:49" ht="15.75" customHeight="1" thickBot="1" x14ac:dyDescent="0.4">
      <c r="A248" s="106"/>
      <c r="B248" s="106"/>
      <c r="C248" s="106"/>
      <c r="D248" s="106"/>
      <c r="E248" s="169"/>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6"/>
      <c r="AL248" s="106"/>
      <c r="AM248" s="106"/>
      <c r="AN248" s="106"/>
      <c r="AO248" s="106"/>
      <c r="AP248" s="106"/>
      <c r="AQ248" s="106"/>
      <c r="AR248" s="106"/>
      <c r="AS248" s="106"/>
      <c r="AT248" s="106"/>
      <c r="AU248" s="106"/>
      <c r="AV248" s="106"/>
      <c r="AW248" s="106"/>
    </row>
    <row r="249" spans="1:49" ht="15.75" customHeight="1" thickBot="1" x14ac:dyDescent="0.4">
      <c r="A249" s="106"/>
      <c r="B249" s="106"/>
      <c r="C249" s="106"/>
      <c r="D249" s="106"/>
      <c r="E249" s="169"/>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6"/>
      <c r="AL249" s="106"/>
      <c r="AM249" s="106"/>
      <c r="AN249" s="106"/>
      <c r="AO249" s="106"/>
      <c r="AP249" s="106"/>
      <c r="AQ249" s="106"/>
      <c r="AR249" s="106"/>
      <c r="AS249" s="106"/>
      <c r="AT249" s="106"/>
      <c r="AU249" s="106"/>
      <c r="AV249" s="106"/>
      <c r="AW249" s="106"/>
    </row>
    <row r="250" spans="1:49" ht="15.75" customHeight="1" thickBot="1" x14ac:dyDescent="0.4">
      <c r="A250" s="106"/>
      <c r="B250" s="106"/>
      <c r="C250" s="106"/>
      <c r="D250" s="106"/>
      <c r="E250" s="169"/>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6"/>
      <c r="AL250" s="106"/>
      <c r="AM250" s="106"/>
      <c r="AN250" s="106"/>
      <c r="AO250" s="106"/>
      <c r="AP250" s="106"/>
      <c r="AQ250" s="106"/>
      <c r="AR250" s="106"/>
      <c r="AS250" s="106"/>
      <c r="AT250" s="106"/>
      <c r="AU250" s="106"/>
      <c r="AV250" s="106"/>
      <c r="AW250" s="106"/>
    </row>
    <row r="251" spans="1:49" ht="15.75" customHeight="1" thickBot="1" x14ac:dyDescent="0.4">
      <c r="A251" s="106"/>
      <c r="B251" s="106"/>
      <c r="C251" s="106"/>
      <c r="D251" s="106"/>
      <c r="E251" s="169"/>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6"/>
      <c r="AL251" s="106"/>
      <c r="AM251" s="106"/>
      <c r="AN251" s="106"/>
      <c r="AO251" s="106"/>
      <c r="AP251" s="106"/>
      <c r="AQ251" s="106"/>
      <c r="AR251" s="106"/>
      <c r="AS251" s="106"/>
      <c r="AT251" s="106"/>
      <c r="AU251" s="106"/>
      <c r="AV251" s="106"/>
      <c r="AW251" s="106"/>
    </row>
    <row r="252" spans="1:49" ht="15.75" customHeight="1" thickBot="1" x14ac:dyDescent="0.4">
      <c r="A252" s="106"/>
      <c r="B252" s="106"/>
      <c r="C252" s="106"/>
      <c r="D252" s="106"/>
      <c r="E252" s="169"/>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6"/>
      <c r="AL252" s="106"/>
      <c r="AM252" s="106"/>
      <c r="AN252" s="106"/>
      <c r="AO252" s="106"/>
      <c r="AP252" s="106"/>
      <c r="AQ252" s="106"/>
      <c r="AR252" s="106"/>
      <c r="AS252" s="106"/>
      <c r="AT252" s="106"/>
      <c r="AU252" s="106"/>
      <c r="AV252" s="106"/>
      <c r="AW252" s="106"/>
    </row>
    <row r="253" spans="1:49" ht="15.75" customHeight="1" thickBot="1" x14ac:dyDescent="0.4">
      <c r="A253" s="106"/>
      <c r="B253" s="106"/>
      <c r="C253" s="106"/>
      <c r="D253" s="106"/>
      <c r="E253" s="169"/>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6"/>
      <c r="AL253" s="106"/>
      <c r="AM253" s="106"/>
      <c r="AN253" s="106"/>
      <c r="AO253" s="106"/>
      <c r="AP253" s="106"/>
      <c r="AQ253" s="106"/>
      <c r="AR253" s="106"/>
      <c r="AS253" s="106"/>
      <c r="AT253" s="106"/>
      <c r="AU253" s="106"/>
      <c r="AV253" s="106"/>
      <c r="AW253" s="106"/>
    </row>
    <row r="254" spans="1:49" ht="15.75" customHeight="1" thickBot="1" x14ac:dyDescent="0.4">
      <c r="A254" s="106"/>
      <c r="B254" s="106"/>
      <c r="C254" s="106"/>
      <c r="D254" s="106"/>
      <c r="E254" s="169"/>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6"/>
      <c r="AL254" s="106"/>
      <c r="AM254" s="106"/>
      <c r="AN254" s="106"/>
      <c r="AO254" s="106"/>
      <c r="AP254" s="106"/>
      <c r="AQ254" s="106"/>
      <c r="AR254" s="106"/>
      <c r="AS254" s="106"/>
      <c r="AT254" s="106"/>
      <c r="AU254" s="106"/>
      <c r="AV254" s="106"/>
      <c r="AW254" s="106"/>
    </row>
    <row r="255" spans="1:49" ht="15.75" customHeight="1" thickBot="1" x14ac:dyDescent="0.4">
      <c r="A255" s="106"/>
      <c r="B255" s="106"/>
      <c r="C255" s="106"/>
      <c r="D255" s="106"/>
      <c r="E255" s="169"/>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6"/>
      <c r="AL255" s="106"/>
      <c r="AM255" s="106"/>
      <c r="AN255" s="106"/>
      <c r="AO255" s="106"/>
      <c r="AP255" s="106"/>
      <c r="AQ255" s="106"/>
      <c r="AR255" s="106"/>
      <c r="AS255" s="106"/>
      <c r="AT255" s="106"/>
      <c r="AU255" s="106"/>
      <c r="AV255" s="106"/>
      <c r="AW255" s="106"/>
    </row>
    <row r="256" spans="1:49" ht="15.75" customHeight="1" thickBot="1" x14ac:dyDescent="0.4">
      <c r="A256" s="106"/>
      <c r="B256" s="106"/>
      <c r="C256" s="106"/>
      <c r="D256" s="106"/>
      <c r="E256" s="169"/>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row>
    <row r="257" spans="1:49" ht="15.75" customHeight="1" thickBot="1" x14ac:dyDescent="0.4">
      <c r="A257" s="106"/>
      <c r="B257" s="106"/>
      <c r="C257" s="106"/>
      <c r="D257" s="106"/>
      <c r="E257" s="169"/>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6"/>
      <c r="AL257" s="106"/>
      <c r="AM257" s="106"/>
      <c r="AN257" s="106"/>
      <c r="AO257" s="106"/>
      <c r="AP257" s="106"/>
      <c r="AQ257" s="106"/>
      <c r="AR257" s="106"/>
      <c r="AS257" s="106"/>
      <c r="AT257" s="106"/>
      <c r="AU257" s="106"/>
      <c r="AV257" s="106"/>
      <c r="AW257" s="106"/>
    </row>
    <row r="258" spans="1:49" ht="15.75" customHeight="1" thickBot="1" x14ac:dyDescent="0.4">
      <c r="A258" s="106"/>
      <c r="B258" s="106"/>
      <c r="C258" s="106"/>
      <c r="D258" s="106"/>
      <c r="E258" s="169"/>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6"/>
      <c r="AL258" s="106"/>
      <c r="AM258" s="106"/>
      <c r="AN258" s="106"/>
      <c r="AO258" s="106"/>
      <c r="AP258" s="106"/>
      <c r="AQ258" s="106"/>
      <c r="AR258" s="106"/>
      <c r="AS258" s="106"/>
      <c r="AT258" s="106"/>
      <c r="AU258" s="106"/>
      <c r="AV258" s="106"/>
      <c r="AW258" s="106"/>
    </row>
    <row r="259" spans="1:49" ht="15.75" customHeight="1" thickBot="1" x14ac:dyDescent="0.4">
      <c r="A259" s="106"/>
      <c r="B259" s="106"/>
      <c r="C259" s="106"/>
      <c r="D259" s="106"/>
      <c r="E259" s="169"/>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6"/>
      <c r="AL259" s="106"/>
      <c r="AM259" s="106"/>
      <c r="AN259" s="106"/>
      <c r="AO259" s="106"/>
      <c r="AP259" s="106"/>
      <c r="AQ259" s="106"/>
      <c r="AR259" s="106"/>
      <c r="AS259" s="106"/>
      <c r="AT259" s="106"/>
      <c r="AU259" s="106"/>
      <c r="AV259" s="106"/>
      <c r="AW259" s="106"/>
    </row>
    <row r="260" spans="1:49" ht="15.75" customHeight="1" thickBot="1" x14ac:dyDescent="0.4">
      <c r="A260" s="106"/>
      <c r="B260" s="106"/>
      <c r="C260" s="106"/>
      <c r="D260" s="106"/>
      <c r="E260" s="169"/>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6"/>
      <c r="AL260" s="106"/>
      <c r="AM260" s="106"/>
      <c r="AN260" s="106"/>
      <c r="AO260" s="106"/>
      <c r="AP260" s="106"/>
      <c r="AQ260" s="106"/>
      <c r="AR260" s="106"/>
      <c r="AS260" s="106"/>
      <c r="AT260" s="106"/>
      <c r="AU260" s="106"/>
      <c r="AV260" s="106"/>
      <c r="AW260" s="106"/>
    </row>
    <row r="261" spans="1:49" ht="15.75" customHeight="1" thickBot="1" x14ac:dyDescent="0.4">
      <c r="A261" s="106"/>
      <c r="B261" s="106"/>
      <c r="C261" s="106"/>
      <c r="D261" s="106"/>
      <c r="E261" s="169"/>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row>
    <row r="262" spans="1:49" ht="15.75" customHeight="1" thickBot="1" x14ac:dyDescent="0.4">
      <c r="A262" s="106"/>
      <c r="B262" s="106"/>
      <c r="C262" s="106"/>
      <c r="D262" s="106"/>
      <c r="E262" s="169"/>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6"/>
      <c r="AL262" s="106"/>
      <c r="AM262" s="106"/>
      <c r="AN262" s="106"/>
      <c r="AO262" s="106"/>
      <c r="AP262" s="106"/>
      <c r="AQ262" s="106"/>
      <c r="AR262" s="106"/>
      <c r="AS262" s="106"/>
      <c r="AT262" s="106"/>
      <c r="AU262" s="106"/>
      <c r="AV262" s="106"/>
      <c r="AW262" s="106"/>
    </row>
    <row r="263" spans="1:49" ht="15.75" customHeight="1" thickBot="1" x14ac:dyDescent="0.4">
      <c r="A263" s="106"/>
      <c r="B263" s="106"/>
      <c r="C263" s="106"/>
      <c r="D263" s="106"/>
      <c r="E263" s="169"/>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6"/>
      <c r="AL263" s="106"/>
      <c r="AM263" s="106"/>
      <c r="AN263" s="106"/>
      <c r="AO263" s="106"/>
      <c r="AP263" s="106"/>
      <c r="AQ263" s="106"/>
      <c r="AR263" s="106"/>
      <c r="AS263" s="106"/>
      <c r="AT263" s="106"/>
      <c r="AU263" s="106"/>
      <c r="AV263" s="106"/>
      <c r="AW263" s="106"/>
    </row>
    <row r="264" spans="1:49" ht="15.75" customHeight="1" thickBot="1" x14ac:dyDescent="0.4">
      <c r="A264" s="106"/>
      <c r="B264" s="106"/>
      <c r="C264" s="106"/>
      <c r="D264" s="106"/>
      <c r="E264" s="169"/>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6"/>
      <c r="AL264" s="106"/>
      <c r="AM264" s="106"/>
      <c r="AN264" s="106"/>
      <c r="AO264" s="106"/>
      <c r="AP264" s="106"/>
      <c r="AQ264" s="106"/>
      <c r="AR264" s="106"/>
      <c r="AS264" s="106"/>
      <c r="AT264" s="106"/>
      <c r="AU264" s="106"/>
      <c r="AV264" s="106"/>
      <c r="AW264" s="106"/>
    </row>
    <row r="265" spans="1:49" ht="15.75" customHeight="1" thickBot="1" x14ac:dyDescent="0.4">
      <c r="A265" s="106"/>
      <c r="B265" s="106"/>
      <c r="C265" s="106"/>
      <c r="D265" s="106"/>
      <c r="E265" s="169"/>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6"/>
      <c r="AL265" s="106"/>
      <c r="AM265" s="106"/>
      <c r="AN265" s="106"/>
      <c r="AO265" s="106"/>
      <c r="AP265" s="106"/>
      <c r="AQ265" s="106"/>
      <c r="AR265" s="106"/>
      <c r="AS265" s="106"/>
      <c r="AT265" s="106"/>
      <c r="AU265" s="106"/>
      <c r="AV265" s="106"/>
      <c r="AW265" s="106"/>
    </row>
    <row r="266" spans="1:49" ht="15.75" customHeight="1" thickBot="1" x14ac:dyDescent="0.4">
      <c r="A266" s="106"/>
      <c r="B266" s="106"/>
      <c r="C266" s="106"/>
      <c r="D266" s="106"/>
      <c r="E266" s="169"/>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6"/>
      <c r="AN266" s="106"/>
      <c r="AO266" s="106"/>
      <c r="AP266" s="106"/>
      <c r="AQ266" s="106"/>
      <c r="AR266" s="106"/>
      <c r="AS266" s="106"/>
      <c r="AT266" s="106"/>
      <c r="AU266" s="106"/>
      <c r="AV266" s="106"/>
      <c r="AW266" s="106"/>
    </row>
    <row r="267" spans="1:49" ht="15.75" customHeight="1" thickBot="1" x14ac:dyDescent="0.4">
      <c r="A267" s="106"/>
      <c r="B267" s="106"/>
      <c r="C267" s="106"/>
      <c r="D267" s="106"/>
      <c r="E267" s="169"/>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6"/>
      <c r="AR267" s="106"/>
      <c r="AS267" s="106"/>
      <c r="AT267" s="106"/>
      <c r="AU267" s="106"/>
      <c r="AV267" s="106"/>
      <c r="AW267" s="106"/>
    </row>
    <row r="268" spans="1:49" ht="15.75" customHeight="1" thickBot="1" x14ac:dyDescent="0.4">
      <c r="A268" s="106"/>
      <c r="B268" s="106"/>
      <c r="C268" s="106"/>
      <c r="D268" s="106"/>
      <c r="E268" s="169"/>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c r="AL268" s="106"/>
      <c r="AM268" s="106"/>
      <c r="AN268" s="106"/>
      <c r="AO268" s="106"/>
      <c r="AP268" s="106"/>
      <c r="AQ268" s="106"/>
      <c r="AR268" s="106"/>
      <c r="AS268" s="106"/>
      <c r="AT268" s="106"/>
      <c r="AU268" s="106"/>
      <c r="AV268" s="106"/>
      <c r="AW268" s="106"/>
    </row>
    <row r="269" spans="1:49" ht="15.75" customHeight="1" thickBot="1" x14ac:dyDescent="0.4">
      <c r="A269" s="106"/>
      <c r="B269" s="106"/>
      <c r="C269" s="106"/>
      <c r="D269" s="106"/>
      <c r="E269" s="169"/>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c r="AL269" s="106"/>
      <c r="AM269" s="106"/>
      <c r="AN269" s="106"/>
      <c r="AO269" s="106"/>
      <c r="AP269" s="106"/>
      <c r="AQ269" s="106"/>
      <c r="AR269" s="106"/>
      <c r="AS269" s="106"/>
      <c r="AT269" s="106"/>
      <c r="AU269" s="106"/>
      <c r="AV269" s="106"/>
      <c r="AW269" s="106"/>
    </row>
    <row r="270" spans="1:49" ht="15.75" customHeight="1" thickBot="1" x14ac:dyDescent="0.4">
      <c r="A270" s="106"/>
      <c r="B270" s="106"/>
      <c r="C270" s="106"/>
      <c r="D270" s="106"/>
      <c r="E270" s="169"/>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c r="AL270" s="106"/>
      <c r="AM270" s="106"/>
      <c r="AN270" s="106"/>
      <c r="AO270" s="106"/>
      <c r="AP270" s="106"/>
      <c r="AQ270" s="106"/>
      <c r="AR270" s="106"/>
      <c r="AS270" s="106"/>
      <c r="AT270" s="106"/>
      <c r="AU270" s="106"/>
      <c r="AV270" s="106"/>
      <c r="AW270" s="106"/>
    </row>
    <row r="271" spans="1:49" ht="15.75" customHeight="1" thickBot="1" x14ac:dyDescent="0.4">
      <c r="A271" s="106"/>
      <c r="B271" s="106"/>
      <c r="C271" s="106"/>
      <c r="D271" s="106"/>
      <c r="E271" s="169"/>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c r="AL271" s="106"/>
      <c r="AM271" s="106"/>
      <c r="AN271" s="106"/>
      <c r="AO271" s="106"/>
      <c r="AP271" s="106"/>
      <c r="AQ271" s="106"/>
      <c r="AR271" s="106"/>
      <c r="AS271" s="106"/>
      <c r="AT271" s="106"/>
      <c r="AU271" s="106"/>
      <c r="AV271" s="106"/>
      <c r="AW271" s="106"/>
    </row>
    <row r="272" spans="1:49" ht="15.75" customHeight="1" thickBot="1" x14ac:dyDescent="0.4">
      <c r="A272" s="106"/>
      <c r="B272" s="106"/>
      <c r="C272" s="106"/>
      <c r="D272" s="106"/>
      <c r="E272" s="169"/>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c r="AL272" s="106"/>
      <c r="AM272" s="106"/>
      <c r="AN272" s="106"/>
      <c r="AO272" s="106"/>
      <c r="AP272" s="106"/>
      <c r="AQ272" s="106"/>
      <c r="AR272" s="106"/>
      <c r="AS272" s="106"/>
      <c r="AT272" s="106"/>
      <c r="AU272" s="106"/>
      <c r="AV272" s="106"/>
      <c r="AW272" s="106"/>
    </row>
    <row r="273" spans="1:49" ht="15.75" customHeight="1" thickBot="1" x14ac:dyDescent="0.4">
      <c r="A273" s="106"/>
      <c r="B273" s="106"/>
      <c r="C273" s="106"/>
      <c r="D273" s="106"/>
      <c r="E273" s="169"/>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c r="AL273" s="106"/>
      <c r="AM273" s="106"/>
      <c r="AN273" s="106"/>
      <c r="AO273" s="106"/>
      <c r="AP273" s="106"/>
      <c r="AQ273" s="106"/>
      <c r="AR273" s="106"/>
      <c r="AS273" s="106"/>
      <c r="AT273" s="106"/>
      <c r="AU273" s="106"/>
      <c r="AV273" s="106"/>
      <c r="AW273" s="106"/>
    </row>
    <row r="274" spans="1:49" ht="15.75" customHeight="1" thickBot="1" x14ac:dyDescent="0.4">
      <c r="A274" s="106"/>
      <c r="B274" s="106"/>
      <c r="C274" s="106"/>
      <c r="D274" s="106"/>
      <c r="E274" s="169"/>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6"/>
      <c r="AL274" s="106"/>
      <c r="AM274" s="106"/>
      <c r="AN274" s="106"/>
      <c r="AO274" s="106"/>
      <c r="AP274" s="106"/>
      <c r="AQ274" s="106"/>
      <c r="AR274" s="106"/>
      <c r="AS274" s="106"/>
      <c r="AT274" s="106"/>
      <c r="AU274" s="106"/>
      <c r="AV274" s="106"/>
      <c r="AW274" s="106"/>
    </row>
    <row r="275" spans="1:49" ht="15.75" customHeight="1" thickBot="1" x14ac:dyDescent="0.4">
      <c r="A275" s="106"/>
      <c r="B275" s="106"/>
      <c r="C275" s="106"/>
      <c r="D275" s="106"/>
      <c r="E275" s="169"/>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6"/>
      <c r="AL275" s="106"/>
      <c r="AM275" s="106"/>
      <c r="AN275" s="106"/>
      <c r="AO275" s="106"/>
      <c r="AP275" s="106"/>
      <c r="AQ275" s="106"/>
      <c r="AR275" s="106"/>
      <c r="AS275" s="106"/>
      <c r="AT275" s="106"/>
      <c r="AU275" s="106"/>
      <c r="AV275" s="106"/>
      <c r="AW275" s="106"/>
    </row>
    <row r="276" spans="1:49" ht="15.75" customHeight="1" thickBot="1" x14ac:dyDescent="0.4">
      <c r="A276" s="106"/>
      <c r="B276" s="106"/>
      <c r="C276" s="106"/>
      <c r="D276" s="106"/>
      <c r="E276" s="169"/>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c r="AL276" s="106"/>
      <c r="AM276" s="106"/>
      <c r="AN276" s="106"/>
      <c r="AO276" s="106"/>
      <c r="AP276" s="106"/>
      <c r="AQ276" s="106"/>
      <c r="AR276" s="106"/>
      <c r="AS276" s="106"/>
      <c r="AT276" s="106"/>
      <c r="AU276" s="106"/>
      <c r="AV276" s="106"/>
      <c r="AW276" s="106"/>
    </row>
    <row r="277" spans="1:49" ht="15.75" customHeight="1" thickBot="1" x14ac:dyDescent="0.4">
      <c r="A277" s="106"/>
      <c r="B277" s="106"/>
      <c r="C277" s="106"/>
      <c r="D277" s="106"/>
      <c r="E277" s="169"/>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c r="AL277" s="106"/>
      <c r="AM277" s="106"/>
      <c r="AN277" s="106"/>
      <c r="AO277" s="106"/>
      <c r="AP277" s="106"/>
      <c r="AQ277" s="106"/>
      <c r="AR277" s="106"/>
      <c r="AS277" s="106"/>
      <c r="AT277" s="106"/>
      <c r="AU277" s="106"/>
      <c r="AV277" s="106"/>
      <c r="AW277" s="106"/>
    </row>
    <row r="278" spans="1:49" ht="15.75" customHeight="1" thickBot="1" x14ac:dyDescent="0.4">
      <c r="A278" s="106"/>
      <c r="B278" s="106"/>
      <c r="C278" s="106"/>
      <c r="D278" s="106"/>
      <c r="E278" s="169"/>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6"/>
      <c r="AL278" s="106"/>
      <c r="AM278" s="106"/>
      <c r="AN278" s="106"/>
      <c r="AO278" s="106"/>
      <c r="AP278" s="106"/>
      <c r="AQ278" s="106"/>
      <c r="AR278" s="106"/>
      <c r="AS278" s="106"/>
      <c r="AT278" s="106"/>
      <c r="AU278" s="106"/>
      <c r="AV278" s="106"/>
      <c r="AW278" s="106"/>
    </row>
    <row r="279" spans="1:49" ht="15.75" customHeight="1" thickBot="1" x14ac:dyDescent="0.4">
      <c r="A279" s="106"/>
      <c r="B279" s="106"/>
      <c r="C279" s="106"/>
      <c r="D279" s="106"/>
      <c r="E279" s="169"/>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c r="AL279" s="106"/>
      <c r="AM279" s="106"/>
      <c r="AN279" s="106"/>
      <c r="AO279" s="106"/>
      <c r="AP279" s="106"/>
      <c r="AQ279" s="106"/>
      <c r="AR279" s="106"/>
      <c r="AS279" s="106"/>
      <c r="AT279" s="106"/>
      <c r="AU279" s="106"/>
      <c r="AV279" s="106"/>
      <c r="AW279" s="106"/>
    </row>
    <row r="280" spans="1:49" ht="15.75" customHeight="1" thickBot="1" x14ac:dyDescent="0.4">
      <c r="A280" s="106"/>
      <c r="B280" s="106"/>
      <c r="C280" s="106"/>
      <c r="D280" s="106"/>
      <c r="E280" s="169"/>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6"/>
      <c r="AL280" s="106"/>
      <c r="AM280" s="106"/>
      <c r="AN280" s="106"/>
      <c r="AO280" s="106"/>
      <c r="AP280" s="106"/>
      <c r="AQ280" s="106"/>
      <c r="AR280" s="106"/>
      <c r="AS280" s="106"/>
      <c r="AT280" s="106"/>
      <c r="AU280" s="106"/>
      <c r="AV280" s="106"/>
      <c r="AW280" s="106"/>
    </row>
    <row r="281" spans="1:49" ht="15.75" customHeight="1" thickBot="1" x14ac:dyDescent="0.4">
      <c r="A281" s="106"/>
      <c r="B281" s="106"/>
      <c r="C281" s="106"/>
      <c r="D281" s="106"/>
      <c r="E281" s="169"/>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6"/>
      <c r="AL281" s="106"/>
      <c r="AM281" s="106"/>
      <c r="AN281" s="106"/>
      <c r="AO281" s="106"/>
      <c r="AP281" s="106"/>
      <c r="AQ281" s="106"/>
      <c r="AR281" s="106"/>
      <c r="AS281" s="106"/>
      <c r="AT281" s="106"/>
      <c r="AU281" s="106"/>
      <c r="AV281" s="106"/>
      <c r="AW281" s="106"/>
    </row>
    <row r="282" spans="1:49" ht="15.75" customHeight="1" thickBot="1" x14ac:dyDescent="0.4">
      <c r="A282" s="106"/>
      <c r="B282" s="106"/>
      <c r="C282" s="106"/>
      <c r="D282" s="106"/>
      <c r="E282" s="169"/>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6"/>
      <c r="AL282" s="106"/>
      <c r="AM282" s="106"/>
      <c r="AN282" s="106"/>
      <c r="AO282" s="106"/>
      <c r="AP282" s="106"/>
      <c r="AQ282" s="106"/>
      <c r="AR282" s="106"/>
      <c r="AS282" s="106"/>
      <c r="AT282" s="106"/>
      <c r="AU282" s="106"/>
      <c r="AV282" s="106"/>
      <c r="AW282" s="106"/>
    </row>
    <row r="283" spans="1:49" ht="15.75" customHeight="1" thickBot="1" x14ac:dyDescent="0.4">
      <c r="A283" s="106"/>
      <c r="B283" s="106"/>
      <c r="C283" s="106"/>
      <c r="D283" s="106"/>
      <c r="E283" s="169"/>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6"/>
      <c r="AL283" s="106"/>
      <c r="AM283" s="106"/>
      <c r="AN283" s="106"/>
      <c r="AO283" s="106"/>
      <c r="AP283" s="106"/>
      <c r="AQ283" s="106"/>
      <c r="AR283" s="106"/>
      <c r="AS283" s="106"/>
      <c r="AT283" s="106"/>
      <c r="AU283" s="106"/>
      <c r="AV283" s="106"/>
      <c r="AW283" s="106"/>
    </row>
    <row r="284" spans="1:49" ht="15.75" customHeight="1" thickBot="1" x14ac:dyDescent="0.4">
      <c r="A284" s="106"/>
      <c r="B284" s="106"/>
      <c r="C284" s="106"/>
      <c r="D284" s="106"/>
      <c r="E284" s="169"/>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6"/>
      <c r="AL284" s="106"/>
      <c r="AM284" s="106"/>
      <c r="AN284" s="106"/>
      <c r="AO284" s="106"/>
      <c r="AP284" s="106"/>
      <c r="AQ284" s="106"/>
      <c r="AR284" s="106"/>
      <c r="AS284" s="106"/>
      <c r="AT284" s="106"/>
      <c r="AU284" s="106"/>
      <c r="AV284" s="106"/>
      <c r="AW284" s="106"/>
    </row>
    <row r="285" spans="1:49" ht="15.75" customHeight="1" thickBot="1" x14ac:dyDescent="0.4">
      <c r="A285" s="106"/>
      <c r="B285" s="106"/>
      <c r="C285" s="106"/>
      <c r="D285" s="106"/>
      <c r="E285" s="169"/>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6"/>
      <c r="AL285" s="106"/>
      <c r="AM285" s="106"/>
      <c r="AN285" s="106"/>
      <c r="AO285" s="106"/>
      <c r="AP285" s="106"/>
      <c r="AQ285" s="106"/>
      <c r="AR285" s="106"/>
      <c r="AS285" s="106"/>
      <c r="AT285" s="106"/>
      <c r="AU285" s="106"/>
      <c r="AV285" s="106"/>
      <c r="AW285" s="106"/>
    </row>
    <row r="286" spans="1:49" ht="15.75" customHeight="1" thickBot="1" x14ac:dyDescent="0.4">
      <c r="A286" s="106"/>
      <c r="B286" s="106"/>
      <c r="C286" s="106"/>
      <c r="D286" s="106"/>
      <c r="E286" s="169"/>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6"/>
      <c r="AL286" s="106"/>
      <c r="AM286" s="106"/>
      <c r="AN286" s="106"/>
      <c r="AO286" s="106"/>
      <c r="AP286" s="106"/>
      <c r="AQ286" s="106"/>
      <c r="AR286" s="106"/>
      <c r="AS286" s="106"/>
      <c r="AT286" s="106"/>
      <c r="AU286" s="106"/>
      <c r="AV286" s="106"/>
      <c r="AW286" s="106"/>
    </row>
    <row r="287" spans="1:49" ht="15.75" customHeight="1" thickBot="1" x14ac:dyDescent="0.4">
      <c r="A287" s="106"/>
      <c r="B287" s="106"/>
      <c r="C287" s="106"/>
      <c r="D287" s="106"/>
      <c r="E287" s="169"/>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6"/>
      <c r="AL287" s="106"/>
      <c r="AM287" s="106"/>
      <c r="AN287" s="106"/>
      <c r="AO287" s="106"/>
      <c r="AP287" s="106"/>
      <c r="AQ287" s="106"/>
      <c r="AR287" s="106"/>
      <c r="AS287" s="106"/>
      <c r="AT287" s="106"/>
      <c r="AU287" s="106"/>
      <c r="AV287" s="106"/>
      <c r="AW287" s="106"/>
    </row>
    <row r="288" spans="1:49" ht="15.75" customHeight="1" thickBot="1" x14ac:dyDescent="0.4">
      <c r="A288" s="106"/>
      <c r="B288" s="106"/>
      <c r="C288" s="106"/>
      <c r="D288" s="106"/>
      <c r="E288" s="169"/>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6"/>
      <c r="AL288" s="106"/>
      <c r="AM288" s="106"/>
      <c r="AN288" s="106"/>
      <c r="AO288" s="106"/>
      <c r="AP288" s="106"/>
      <c r="AQ288" s="106"/>
      <c r="AR288" s="106"/>
      <c r="AS288" s="106"/>
      <c r="AT288" s="106"/>
      <c r="AU288" s="106"/>
      <c r="AV288" s="106"/>
      <c r="AW288" s="106"/>
    </row>
    <row r="289" spans="1:49" ht="15.75" customHeight="1" thickBot="1" x14ac:dyDescent="0.4">
      <c r="A289" s="106"/>
      <c r="B289" s="106"/>
      <c r="C289" s="106"/>
      <c r="D289" s="106"/>
      <c r="E289" s="169"/>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6"/>
      <c r="AL289" s="106"/>
      <c r="AM289" s="106"/>
      <c r="AN289" s="106"/>
      <c r="AO289" s="106"/>
      <c r="AP289" s="106"/>
      <c r="AQ289" s="106"/>
      <c r="AR289" s="106"/>
      <c r="AS289" s="106"/>
      <c r="AT289" s="106"/>
      <c r="AU289" s="106"/>
      <c r="AV289" s="106"/>
      <c r="AW289" s="106"/>
    </row>
    <row r="290" spans="1:49" ht="15.75" customHeight="1" thickBot="1" x14ac:dyDescent="0.4">
      <c r="A290" s="106"/>
      <c r="B290" s="106"/>
      <c r="C290" s="106"/>
      <c r="D290" s="106"/>
      <c r="E290" s="169"/>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6"/>
      <c r="AL290" s="106"/>
      <c r="AM290" s="106"/>
      <c r="AN290" s="106"/>
      <c r="AO290" s="106"/>
      <c r="AP290" s="106"/>
      <c r="AQ290" s="106"/>
      <c r="AR290" s="106"/>
      <c r="AS290" s="106"/>
      <c r="AT290" s="106"/>
      <c r="AU290" s="106"/>
      <c r="AV290" s="106"/>
      <c r="AW290" s="106"/>
    </row>
    <row r="291" spans="1:49" ht="15.75" customHeight="1" thickBot="1" x14ac:dyDescent="0.4">
      <c r="A291" s="106"/>
      <c r="B291" s="106"/>
      <c r="C291" s="106"/>
      <c r="D291" s="106"/>
      <c r="E291" s="169"/>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6"/>
      <c r="AL291" s="106"/>
      <c r="AM291" s="106"/>
      <c r="AN291" s="106"/>
      <c r="AO291" s="106"/>
      <c r="AP291" s="106"/>
      <c r="AQ291" s="106"/>
      <c r="AR291" s="106"/>
      <c r="AS291" s="106"/>
      <c r="AT291" s="106"/>
      <c r="AU291" s="106"/>
      <c r="AV291" s="106"/>
      <c r="AW291" s="106"/>
    </row>
    <row r="292" spans="1:49" ht="15.75" customHeight="1" thickBot="1" x14ac:dyDescent="0.4">
      <c r="A292" s="106"/>
      <c r="B292" s="106"/>
      <c r="C292" s="106"/>
      <c r="D292" s="106"/>
      <c r="E292" s="169"/>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6"/>
      <c r="AL292" s="106"/>
      <c r="AM292" s="106"/>
      <c r="AN292" s="106"/>
      <c r="AO292" s="106"/>
      <c r="AP292" s="106"/>
      <c r="AQ292" s="106"/>
      <c r="AR292" s="106"/>
      <c r="AS292" s="106"/>
      <c r="AT292" s="106"/>
      <c r="AU292" s="106"/>
      <c r="AV292" s="106"/>
      <c r="AW292" s="106"/>
    </row>
    <row r="293" spans="1:49" ht="15.75" customHeight="1" thickBot="1" x14ac:dyDescent="0.4">
      <c r="A293" s="106"/>
      <c r="B293" s="106"/>
      <c r="C293" s="106"/>
      <c r="D293" s="106"/>
      <c r="E293" s="169"/>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6"/>
      <c r="AL293" s="106"/>
      <c r="AM293" s="106"/>
      <c r="AN293" s="106"/>
      <c r="AO293" s="106"/>
      <c r="AP293" s="106"/>
      <c r="AQ293" s="106"/>
      <c r="AR293" s="106"/>
      <c r="AS293" s="106"/>
      <c r="AT293" s="106"/>
      <c r="AU293" s="106"/>
      <c r="AV293" s="106"/>
      <c r="AW293" s="106"/>
    </row>
    <row r="294" spans="1:49" ht="15.75" customHeight="1" thickBot="1" x14ac:dyDescent="0.4">
      <c r="A294" s="106"/>
      <c r="B294" s="106"/>
      <c r="C294" s="106"/>
      <c r="D294" s="106"/>
      <c r="E294" s="169"/>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6"/>
      <c r="AL294" s="106"/>
      <c r="AM294" s="106"/>
      <c r="AN294" s="106"/>
      <c r="AO294" s="106"/>
      <c r="AP294" s="106"/>
      <c r="AQ294" s="106"/>
      <c r="AR294" s="106"/>
      <c r="AS294" s="106"/>
      <c r="AT294" s="106"/>
      <c r="AU294" s="106"/>
      <c r="AV294" s="106"/>
      <c r="AW294" s="106"/>
    </row>
    <row r="295" spans="1:49" ht="15.75" customHeight="1" thickBot="1" x14ac:dyDescent="0.4">
      <c r="A295" s="106"/>
      <c r="B295" s="106"/>
      <c r="C295" s="106"/>
      <c r="D295" s="106"/>
      <c r="E295" s="169"/>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6"/>
      <c r="AL295" s="106"/>
      <c r="AM295" s="106"/>
      <c r="AN295" s="106"/>
      <c r="AO295" s="106"/>
      <c r="AP295" s="106"/>
      <c r="AQ295" s="106"/>
      <c r="AR295" s="106"/>
      <c r="AS295" s="106"/>
      <c r="AT295" s="106"/>
      <c r="AU295" s="106"/>
      <c r="AV295" s="106"/>
      <c r="AW295" s="106"/>
    </row>
    <row r="296" spans="1:49" ht="15.75" customHeight="1" thickBot="1" x14ac:dyDescent="0.4">
      <c r="A296" s="106"/>
      <c r="B296" s="106"/>
      <c r="C296" s="106"/>
      <c r="D296" s="106"/>
      <c r="E296" s="169"/>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6"/>
      <c r="AL296" s="106"/>
      <c r="AM296" s="106"/>
      <c r="AN296" s="106"/>
      <c r="AO296" s="106"/>
      <c r="AP296" s="106"/>
      <c r="AQ296" s="106"/>
      <c r="AR296" s="106"/>
      <c r="AS296" s="106"/>
      <c r="AT296" s="106"/>
      <c r="AU296" s="106"/>
      <c r="AV296" s="106"/>
      <c r="AW296" s="106"/>
    </row>
    <row r="297" spans="1:49" ht="15.75" customHeight="1" thickBot="1" x14ac:dyDescent="0.4">
      <c r="A297" s="106"/>
      <c r="B297" s="106"/>
      <c r="C297" s="106"/>
      <c r="D297" s="106"/>
      <c r="E297" s="169"/>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row>
    <row r="298" spans="1:49" ht="15.75" customHeight="1" thickBot="1" x14ac:dyDescent="0.4">
      <c r="A298" s="106"/>
      <c r="B298" s="106"/>
      <c r="C298" s="106"/>
      <c r="D298" s="106"/>
      <c r="E298" s="169"/>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row>
    <row r="299" spans="1:49" ht="15.75" customHeight="1" thickBot="1" x14ac:dyDescent="0.4">
      <c r="A299" s="106"/>
      <c r="B299" s="106"/>
      <c r="C299" s="106"/>
      <c r="D299" s="106"/>
      <c r="E299" s="169"/>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c r="AJ299" s="106"/>
      <c r="AK299" s="106"/>
      <c r="AL299" s="106"/>
      <c r="AM299" s="106"/>
      <c r="AN299" s="106"/>
      <c r="AO299" s="106"/>
      <c r="AP299" s="106"/>
      <c r="AQ299" s="106"/>
      <c r="AR299" s="106"/>
      <c r="AS299" s="106"/>
      <c r="AT299" s="106"/>
      <c r="AU299" s="106"/>
      <c r="AV299" s="106"/>
      <c r="AW299" s="106"/>
    </row>
    <row r="300" spans="1:49" ht="15.75" customHeight="1" thickBot="1" x14ac:dyDescent="0.4">
      <c r="A300" s="106"/>
      <c r="B300" s="106"/>
      <c r="C300" s="106"/>
      <c r="D300" s="106"/>
      <c r="E300" s="169"/>
      <c r="F300" s="106"/>
      <c r="G300" s="106"/>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c r="AD300" s="106"/>
      <c r="AE300" s="106"/>
      <c r="AF300" s="106"/>
      <c r="AG300" s="106"/>
      <c r="AH300" s="106"/>
      <c r="AI300" s="106"/>
      <c r="AJ300" s="106"/>
      <c r="AK300" s="106"/>
      <c r="AL300" s="106"/>
      <c r="AM300" s="106"/>
      <c r="AN300" s="106"/>
      <c r="AO300" s="106"/>
      <c r="AP300" s="106"/>
      <c r="AQ300" s="106"/>
      <c r="AR300" s="106"/>
      <c r="AS300" s="106"/>
      <c r="AT300" s="106"/>
      <c r="AU300" s="106"/>
      <c r="AV300" s="106"/>
      <c r="AW300" s="106"/>
    </row>
    <row r="301" spans="1:49" ht="15.75" customHeight="1" thickBot="1" x14ac:dyDescent="0.4">
      <c r="A301" s="106"/>
      <c r="B301" s="106"/>
      <c r="C301" s="106"/>
      <c r="D301" s="106"/>
      <c r="E301" s="169"/>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6"/>
      <c r="AL301" s="106"/>
      <c r="AM301" s="106"/>
      <c r="AN301" s="106"/>
      <c r="AO301" s="106"/>
      <c r="AP301" s="106"/>
      <c r="AQ301" s="106"/>
      <c r="AR301" s="106"/>
      <c r="AS301" s="106"/>
      <c r="AT301" s="106"/>
      <c r="AU301" s="106"/>
      <c r="AV301" s="106"/>
      <c r="AW301" s="106"/>
    </row>
    <row r="302" spans="1:49" ht="15.75" customHeight="1" thickBot="1" x14ac:dyDescent="0.4">
      <c r="A302" s="106"/>
      <c r="B302" s="106"/>
      <c r="C302" s="106"/>
      <c r="D302" s="106"/>
      <c r="E302" s="169"/>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6"/>
      <c r="AL302" s="106"/>
      <c r="AM302" s="106"/>
      <c r="AN302" s="106"/>
      <c r="AO302" s="106"/>
      <c r="AP302" s="106"/>
      <c r="AQ302" s="106"/>
      <c r="AR302" s="106"/>
      <c r="AS302" s="106"/>
      <c r="AT302" s="106"/>
      <c r="AU302" s="106"/>
      <c r="AV302" s="106"/>
      <c r="AW302" s="106"/>
    </row>
    <row r="303" spans="1:49" ht="15.75" customHeight="1" thickBot="1" x14ac:dyDescent="0.4">
      <c r="A303" s="106"/>
      <c r="B303" s="106"/>
      <c r="C303" s="106"/>
      <c r="D303" s="106"/>
      <c r="E303" s="169"/>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6"/>
      <c r="AL303" s="106"/>
      <c r="AM303" s="106"/>
      <c r="AN303" s="106"/>
      <c r="AO303" s="106"/>
      <c r="AP303" s="106"/>
      <c r="AQ303" s="106"/>
      <c r="AR303" s="106"/>
      <c r="AS303" s="106"/>
      <c r="AT303" s="106"/>
      <c r="AU303" s="106"/>
      <c r="AV303" s="106"/>
      <c r="AW303" s="106"/>
    </row>
    <row r="304" spans="1:49" ht="15.75" customHeight="1" thickBot="1" x14ac:dyDescent="0.4">
      <c r="A304" s="106"/>
      <c r="B304" s="106"/>
      <c r="C304" s="106"/>
      <c r="D304" s="106"/>
      <c r="E304" s="169"/>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6"/>
      <c r="AL304" s="106"/>
      <c r="AM304" s="106"/>
      <c r="AN304" s="106"/>
      <c r="AO304" s="106"/>
      <c r="AP304" s="106"/>
      <c r="AQ304" s="106"/>
      <c r="AR304" s="106"/>
      <c r="AS304" s="106"/>
      <c r="AT304" s="106"/>
      <c r="AU304" s="106"/>
      <c r="AV304" s="106"/>
      <c r="AW304" s="106"/>
    </row>
    <row r="305" spans="1:49" ht="15.75" customHeight="1" thickBot="1" x14ac:dyDescent="0.4">
      <c r="A305" s="106"/>
      <c r="B305" s="106"/>
      <c r="C305" s="106"/>
      <c r="D305" s="106"/>
      <c r="E305" s="169"/>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6"/>
      <c r="AL305" s="106"/>
      <c r="AM305" s="106"/>
      <c r="AN305" s="106"/>
      <c r="AO305" s="106"/>
      <c r="AP305" s="106"/>
      <c r="AQ305" s="106"/>
      <c r="AR305" s="106"/>
      <c r="AS305" s="106"/>
      <c r="AT305" s="106"/>
      <c r="AU305" s="106"/>
      <c r="AV305" s="106"/>
      <c r="AW305" s="106"/>
    </row>
    <row r="306" spans="1:49" ht="15.75" customHeight="1" thickBot="1" x14ac:dyDescent="0.4">
      <c r="A306" s="106"/>
      <c r="B306" s="106"/>
      <c r="C306" s="106"/>
      <c r="D306" s="106"/>
      <c r="E306" s="169"/>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6"/>
      <c r="AL306" s="106"/>
      <c r="AM306" s="106"/>
      <c r="AN306" s="106"/>
      <c r="AO306" s="106"/>
      <c r="AP306" s="106"/>
      <c r="AQ306" s="106"/>
      <c r="AR306" s="106"/>
      <c r="AS306" s="106"/>
      <c r="AT306" s="106"/>
      <c r="AU306" s="106"/>
      <c r="AV306" s="106"/>
      <c r="AW306" s="106"/>
    </row>
    <row r="307" spans="1:49" ht="15.75" customHeight="1" thickBot="1" x14ac:dyDescent="0.4">
      <c r="A307" s="106"/>
      <c r="B307" s="106"/>
      <c r="C307" s="106"/>
      <c r="D307" s="106"/>
      <c r="E307" s="169"/>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6"/>
      <c r="AL307" s="106"/>
      <c r="AM307" s="106"/>
      <c r="AN307" s="106"/>
      <c r="AO307" s="106"/>
      <c r="AP307" s="106"/>
      <c r="AQ307" s="106"/>
      <c r="AR307" s="106"/>
      <c r="AS307" s="106"/>
      <c r="AT307" s="106"/>
      <c r="AU307" s="106"/>
      <c r="AV307" s="106"/>
      <c r="AW307" s="106"/>
    </row>
    <row r="308" spans="1:49" ht="15.75" customHeight="1" thickBot="1" x14ac:dyDescent="0.4">
      <c r="A308" s="106"/>
      <c r="B308" s="106"/>
      <c r="C308" s="106"/>
      <c r="D308" s="106"/>
      <c r="E308" s="169"/>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6"/>
      <c r="AL308" s="106"/>
      <c r="AM308" s="106"/>
      <c r="AN308" s="106"/>
      <c r="AO308" s="106"/>
      <c r="AP308" s="106"/>
      <c r="AQ308" s="106"/>
      <c r="AR308" s="106"/>
      <c r="AS308" s="106"/>
      <c r="AT308" s="106"/>
      <c r="AU308" s="106"/>
      <c r="AV308" s="106"/>
      <c r="AW308" s="106"/>
    </row>
    <row r="309" spans="1:49" ht="15.75" customHeight="1" thickBot="1" x14ac:dyDescent="0.4">
      <c r="A309" s="106"/>
      <c r="B309" s="106"/>
      <c r="C309" s="106"/>
      <c r="D309" s="106"/>
      <c r="E309" s="169"/>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6"/>
      <c r="AL309" s="106"/>
      <c r="AM309" s="106"/>
      <c r="AN309" s="106"/>
      <c r="AO309" s="106"/>
      <c r="AP309" s="106"/>
      <c r="AQ309" s="106"/>
      <c r="AR309" s="106"/>
      <c r="AS309" s="106"/>
      <c r="AT309" s="106"/>
      <c r="AU309" s="106"/>
      <c r="AV309" s="106"/>
      <c r="AW309" s="106"/>
    </row>
    <row r="310" spans="1:49" ht="15.75" customHeight="1" thickBot="1" x14ac:dyDescent="0.4">
      <c r="A310" s="106"/>
      <c r="B310" s="106"/>
      <c r="C310" s="106"/>
      <c r="D310" s="106"/>
      <c r="E310" s="169"/>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6"/>
      <c r="AL310" s="106"/>
      <c r="AM310" s="106"/>
      <c r="AN310" s="106"/>
      <c r="AO310" s="106"/>
      <c r="AP310" s="106"/>
      <c r="AQ310" s="106"/>
      <c r="AR310" s="106"/>
      <c r="AS310" s="106"/>
      <c r="AT310" s="106"/>
      <c r="AU310" s="106"/>
      <c r="AV310" s="106"/>
      <c r="AW310" s="106"/>
    </row>
    <row r="311" spans="1:49" ht="15.75" customHeight="1" thickBot="1" x14ac:dyDescent="0.4">
      <c r="A311" s="106"/>
      <c r="B311" s="106"/>
      <c r="C311" s="106"/>
      <c r="D311" s="106"/>
      <c r="E311" s="169"/>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6"/>
      <c r="AL311" s="106"/>
      <c r="AM311" s="106"/>
      <c r="AN311" s="106"/>
      <c r="AO311" s="106"/>
      <c r="AP311" s="106"/>
      <c r="AQ311" s="106"/>
      <c r="AR311" s="106"/>
      <c r="AS311" s="106"/>
      <c r="AT311" s="106"/>
      <c r="AU311" s="106"/>
      <c r="AV311" s="106"/>
      <c r="AW311" s="106"/>
    </row>
    <row r="312" spans="1:49" ht="15.75" customHeight="1" thickBot="1" x14ac:dyDescent="0.4">
      <c r="A312" s="106"/>
      <c r="B312" s="106"/>
      <c r="C312" s="106"/>
      <c r="D312" s="106"/>
      <c r="E312" s="169"/>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6"/>
      <c r="AL312" s="106"/>
      <c r="AM312" s="106"/>
      <c r="AN312" s="106"/>
      <c r="AO312" s="106"/>
      <c r="AP312" s="106"/>
      <c r="AQ312" s="106"/>
      <c r="AR312" s="106"/>
      <c r="AS312" s="106"/>
      <c r="AT312" s="106"/>
      <c r="AU312" s="106"/>
      <c r="AV312" s="106"/>
      <c r="AW312" s="106"/>
    </row>
    <row r="313" spans="1:49" ht="15.75" customHeight="1" thickBot="1" x14ac:dyDescent="0.4">
      <c r="A313" s="106"/>
      <c r="B313" s="106"/>
      <c r="C313" s="106"/>
      <c r="D313" s="106"/>
      <c r="E313" s="169"/>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6"/>
      <c r="AL313" s="106"/>
      <c r="AM313" s="106"/>
      <c r="AN313" s="106"/>
      <c r="AO313" s="106"/>
      <c r="AP313" s="106"/>
      <c r="AQ313" s="106"/>
      <c r="AR313" s="106"/>
      <c r="AS313" s="106"/>
      <c r="AT313" s="106"/>
      <c r="AU313" s="106"/>
      <c r="AV313" s="106"/>
      <c r="AW313" s="106"/>
    </row>
    <row r="314" spans="1:49" ht="15.75" customHeight="1" thickBot="1" x14ac:dyDescent="0.4">
      <c r="A314" s="106"/>
      <c r="B314" s="106"/>
      <c r="C314" s="106"/>
      <c r="D314" s="106"/>
      <c r="E314" s="169"/>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6"/>
      <c r="AL314" s="106"/>
      <c r="AM314" s="106"/>
      <c r="AN314" s="106"/>
      <c r="AO314" s="106"/>
      <c r="AP314" s="106"/>
      <c r="AQ314" s="106"/>
      <c r="AR314" s="106"/>
      <c r="AS314" s="106"/>
      <c r="AT314" s="106"/>
      <c r="AU314" s="106"/>
      <c r="AV314" s="106"/>
      <c r="AW314" s="106"/>
    </row>
    <row r="315" spans="1:49" ht="15.75" customHeight="1" thickBot="1" x14ac:dyDescent="0.4">
      <c r="A315" s="106"/>
      <c r="B315" s="106"/>
      <c r="C315" s="106"/>
      <c r="D315" s="106"/>
      <c r="E315" s="169"/>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6"/>
      <c r="AL315" s="106"/>
      <c r="AM315" s="106"/>
      <c r="AN315" s="106"/>
      <c r="AO315" s="106"/>
      <c r="AP315" s="106"/>
      <c r="AQ315" s="106"/>
      <c r="AR315" s="106"/>
      <c r="AS315" s="106"/>
      <c r="AT315" s="106"/>
      <c r="AU315" s="106"/>
      <c r="AV315" s="106"/>
      <c r="AW315" s="106"/>
    </row>
    <row r="316" spans="1:49" ht="15.75" customHeight="1" thickBot="1" x14ac:dyDescent="0.4">
      <c r="A316" s="106"/>
      <c r="B316" s="106"/>
      <c r="C316" s="106"/>
      <c r="D316" s="106"/>
      <c r="E316" s="169"/>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6"/>
      <c r="AL316" s="106"/>
      <c r="AM316" s="106"/>
      <c r="AN316" s="106"/>
      <c r="AO316" s="106"/>
      <c r="AP316" s="106"/>
      <c r="AQ316" s="106"/>
      <c r="AR316" s="106"/>
      <c r="AS316" s="106"/>
      <c r="AT316" s="106"/>
      <c r="AU316" s="106"/>
      <c r="AV316" s="106"/>
      <c r="AW316" s="106"/>
    </row>
    <row r="317" spans="1:49" ht="15.75" customHeight="1" thickBot="1" x14ac:dyDescent="0.4">
      <c r="A317" s="106"/>
      <c r="B317" s="106"/>
      <c r="C317" s="106"/>
      <c r="D317" s="106"/>
      <c r="E317" s="169"/>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6"/>
      <c r="AL317" s="106"/>
      <c r="AM317" s="106"/>
      <c r="AN317" s="106"/>
      <c r="AO317" s="106"/>
      <c r="AP317" s="106"/>
      <c r="AQ317" s="106"/>
      <c r="AR317" s="106"/>
      <c r="AS317" s="106"/>
      <c r="AT317" s="106"/>
      <c r="AU317" s="106"/>
      <c r="AV317" s="106"/>
      <c r="AW317" s="106"/>
    </row>
    <row r="318" spans="1:49" ht="15.75" customHeight="1" thickBot="1" x14ac:dyDescent="0.4">
      <c r="A318" s="106"/>
      <c r="B318" s="106"/>
      <c r="C318" s="106"/>
      <c r="D318" s="106"/>
      <c r="E318" s="169"/>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6"/>
      <c r="AL318" s="106"/>
      <c r="AM318" s="106"/>
      <c r="AN318" s="106"/>
      <c r="AO318" s="106"/>
      <c r="AP318" s="106"/>
      <c r="AQ318" s="106"/>
      <c r="AR318" s="106"/>
      <c r="AS318" s="106"/>
      <c r="AT318" s="106"/>
      <c r="AU318" s="106"/>
      <c r="AV318" s="106"/>
      <c r="AW318" s="106"/>
    </row>
    <row r="319" spans="1:49" ht="15.75" customHeight="1" thickBot="1" x14ac:dyDescent="0.4">
      <c r="A319" s="106"/>
      <c r="B319" s="106"/>
      <c r="C319" s="106"/>
      <c r="D319" s="106"/>
      <c r="E319" s="169"/>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6"/>
      <c r="AL319" s="106"/>
      <c r="AM319" s="106"/>
      <c r="AN319" s="106"/>
      <c r="AO319" s="106"/>
      <c r="AP319" s="106"/>
      <c r="AQ319" s="106"/>
      <c r="AR319" s="106"/>
      <c r="AS319" s="106"/>
      <c r="AT319" s="106"/>
      <c r="AU319" s="106"/>
      <c r="AV319" s="106"/>
      <c r="AW319" s="106"/>
    </row>
    <row r="320" spans="1:49" ht="15.75" customHeight="1" thickBot="1" x14ac:dyDescent="0.4">
      <c r="A320" s="106"/>
      <c r="B320" s="106"/>
      <c r="C320" s="106"/>
      <c r="D320" s="106"/>
      <c r="E320" s="169"/>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6"/>
      <c r="AL320" s="106"/>
      <c r="AM320" s="106"/>
      <c r="AN320" s="106"/>
      <c r="AO320" s="106"/>
      <c r="AP320" s="106"/>
      <c r="AQ320" s="106"/>
      <c r="AR320" s="106"/>
      <c r="AS320" s="106"/>
      <c r="AT320" s="106"/>
      <c r="AU320" s="106"/>
      <c r="AV320" s="106"/>
      <c r="AW320" s="106"/>
    </row>
    <row r="321" spans="1:49" ht="15.75" customHeight="1" thickBot="1" x14ac:dyDescent="0.4">
      <c r="A321" s="106"/>
      <c r="B321" s="106"/>
      <c r="C321" s="106"/>
      <c r="D321" s="106"/>
      <c r="E321" s="169"/>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6"/>
      <c r="AL321" s="106"/>
      <c r="AM321" s="106"/>
      <c r="AN321" s="106"/>
      <c r="AO321" s="106"/>
      <c r="AP321" s="106"/>
      <c r="AQ321" s="106"/>
      <c r="AR321" s="106"/>
      <c r="AS321" s="106"/>
      <c r="AT321" s="106"/>
      <c r="AU321" s="106"/>
      <c r="AV321" s="106"/>
      <c r="AW321" s="106"/>
    </row>
    <row r="322" spans="1:49" ht="15.75" customHeight="1" thickBot="1" x14ac:dyDescent="0.4">
      <c r="A322" s="106"/>
      <c r="B322" s="106"/>
      <c r="C322" s="106"/>
      <c r="D322" s="106"/>
      <c r="E322" s="169"/>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6"/>
      <c r="AL322" s="106"/>
      <c r="AM322" s="106"/>
      <c r="AN322" s="106"/>
      <c r="AO322" s="106"/>
      <c r="AP322" s="106"/>
      <c r="AQ322" s="106"/>
      <c r="AR322" s="106"/>
      <c r="AS322" s="106"/>
      <c r="AT322" s="106"/>
      <c r="AU322" s="106"/>
      <c r="AV322" s="106"/>
      <c r="AW322" s="106"/>
    </row>
    <row r="323" spans="1:49" ht="15.75" customHeight="1" thickBot="1" x14ac:dyDescent="0.4">
      <c r="A323" s="106"/>
      <c r="B323" s="106"/>
      <c r="C323" s="106"/>
      <c r="D323" s="106"/>
      <c r="E323" s="169"/>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6"/>
      <c r="AL323" s="106"/>
      <c r="AM323" s="106"/>
      <c r="AN323" s="106"/>
      <c r="AO323" s="106"/>
      <c r="AP323" s="106"/>
      <c r="AQ323" s="106"/>
      <c r="AR323" s="106"/>
      <c r="AS323" s="106"/>
      <c r="AT323" s="106"/>
      <c r="AU323" s="106"/>
      <c r="AV323" s="106"/>
      <c r="AW323" s="106"/>
    </row>
    <row r="324" spans="1:49" ht="15.75" customHeight="1" thickBot="1" x14ac:dyDescent="0.4">
      <c r="A324" s="106"/>
      <c r="B324" s="106"/>
      <c r="C324" s="106"/>
      <c r="D324" s="106"/>
      <c r="E324" s="169"/>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6"/>
      <c r="AL324" s="106"/>
      <c r="AM324" s="106"/>
      <c r="AN324" s="106"/>
      <c r="AO324" s="106"/>
      <c r="AP324" s="106"/>
      <c r="AQ324" s="106"/>
      <c r="AR324" s="106"/>
      <c r="AS324" s="106"/>
      <c r="AT324" s="106"/>
      <c r="AU324" s="106"/>
      <c r="AV324" s="106"/>
      <c r="AW324" s="106"/>
    </row>
    <row r="325" spans="1:49" ht="15.75" customHeight="1" thickBot="1" x14ac:dyDescent="0.4">
      <c r="A325" s="106"/>
      <c r="B325" s="106"/>
      <c r="C325" s="106"/>
      <c r="D325" s="106"/>
      <c r="E325" s="169"/>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6"/>
      <c r="AL325" s="106"/>
      <c r="AM325" s="106"/>
      <c r="AN325" s="106"/>
      <c r="AO325" s="106"/>
      <c r="AP325" s="106"/>
      <c r="AQ325" s="106"/>
      <c r="AR325" s="106"/>
      <c r="AS325" s="106"/>
      <c r="AT325" s="106"/>
      <c r="AU325" s="106"/>
      <c r="AV325" s="106"/>
      <c r="AW325" s="106"/>
    </row>
    <row r="326" spans="1:49" ht="15.75" customHeight="1" thickBot="1" x14ac:dyDescent="0.4">
      <c r="A326" s="106"/>
      <c r="B326" s="106"/>
      <c r="C326" s="106"/>
      <c r="D326" s="106"/>
      <c r="E326" s="169"/>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6"/>
      <c r="AL326" s="106"/>
      <c r="AM326" s="106"/>
      <c r="AN326" s="106"/>
      <c r="AO326" s="106"/>
      <c r="AP326" s="106"/>
      <c r="AQ326" s="106"/>
      <c r="AR326" s="106"/>
      <c r="AS326" s="106"/>
      <c r="AT326" s="106"/>
      <c r="AU326" s="106"/>
      <c r="AV326" s="106"/>
      <c r="AW326" s="106"/>
    </row>
    <row r="327" spans="1:49" ht="15.75" customHeight="1" thickBot="1" x14ac:dyDescent="0.4">
      <c r="A327" s="106"/>
      <c r="B327" s="106"/>
      <c r="C327" s="106"/>
      <c r="D327" s="106"/>
      <c r="E327" s="169"/>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6"/>
      <c r="AL327" s="106"/>
      <c r="AM327" s="106"/>
      <c r="AN327" s="106"/>
      <c r="AO327" s="106"/>
      <c r="AP327" s="106"/>
      <c r="AQ327" s="106"/>
      <c r="AR327" s="106"/>
      <c r="AS327" s="106"/>
      <c r="AT327" s="106"/>
      <c r="AU327" s="106"/>
      <c r="AV327" s="106"/>
      <c r="AW327" s="106"/>
    </row>
    <row r="328" spans="1:49" ht="15.75" customHeight="1" thickBot="1" x14ac:dyDescent="0.4">
      <c r="A328" s="106"/>
      <c r="B328" s="106"/>
      <c r="C328" s="106"/>
      <c r="D328" s="106"/>
      <c r="E328" s="169"/>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6"/>
      <c r="AL328" s="106"/>
      <c r="AM328" s="106"/>
      <c r="AN328" s="106"/>
      <c r="AO328" s="106"/>
      <c r="AP328" s="106"/>
      <c r="AQ328" s="106"/>
      <c r="AR328" s="106"/>
      <c r="AS328" s="106"/>
      <c r="AT328" s="106"/>
      <c r="AU328" s="106"/>
      <c r="AV328" s="106"/>
      <c r="AW328" s="106"/>
    </row>
    <row r="329" spans="1:49" ht="15.75" customHeight="1" thickBot="1" x14ac:dyDescent="0.4">
      <c r="A329" s="106"/>
      <c r="B329" s="106"/>
      <c r="C329" s="106"/>
      <c r="D329" s="106"/>
      <c r="E329" s="169"/>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6"/>
      <c r="AL329" s="106"/>
      <c r="AM329" s="106"/>
      <c r="AN329" s="106"/>
      <c r="AO329" s="106"/>
      <c r="AP329" s="106"/>
      <c r="AQ329" s="106"/>
      <c r="AR329" s="106"/>
      <c r="AS329" s="106"/>
      <c r="AT329" s="106"/>
      <c r="AU329" s="106"/>
      <c r="AV329" s="106"/>
      <c r="AW329" s="106"/>
    </row>
    <row r="330" spans="1:49" ht="15.75" customHeight="1" thickBot="1" x14ac:dyDescent="0.4">
      <c r="A330" s="106"/>
      <c r="B330" s="106"/>
      <c r="C330" s="106"/>
      <c r="D330" s="106"/>
      <c r="E330" s="169"/>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6"/>
      <c r="AL330" s="106"/>
      <c r="AM330" s="106"/>
      <c r="AN330" s="106"/>
      <c r="AO330" s="106"/>
      <c r="AP330" s="106"/>
      <c r="AQ330" s="106"/>
      <c r="AR330" s="106"/>
      <c r="AS330" s="106"/>
      <c r="AT330" s="106"/>
      <c r="AU330" s="106"/>
      <c r="AV330" s="106"/>
      <c r="AW330" s="106"/>
    </row>
    <row r="331" spans="1:49" ht="15.75" customHeight="1" thickBot="1" x14ac:dyDescent="0.4">
      <c r="A331" s="106"/>
      <c r="B331" s="106"/>
      <c r="C331" s="106"/>
      <c r="D331" s="106"/>
      <c r="E331" s="169"/>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6"/>
      <c r="AL331" s="106"/>
      <c r="AM331" s="106"/>
      <c r="AN331" s="106"/>
      <c r="AO331" s="106"/>
      <c r="AP331" s="106"/>
      <c r="AQ331" s="106"/>
      <c r="AR331" s="106"/>
      <c r="AS331" s="106"/>
      <c r="AT331" s="106"/>
      <c r="AU331" s="106"/>
      <c r="AV331" s="106"/>
      <c r="AW331" s="106"/>
    </row>
    <row r="332" spans="1:49" ht="15.75" customHeight="1" thickBot="1" x14ac:dyDescent="0.4">
      <c r="A332" s="106"/>
      <c r="B332" s="106"/>
      <c r="C332" s="106"/>
      <c r="D332" s="106"/>
      <c r="E332" s="169"/>
      <c r="F332" s="106"/>
      <c r="G332" s="106"/>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c r="AD332" s="106"/>
      <c r="AE332" s="106"/>
      <c r="AF332" s="106"/>
      <c r="AG332" s="106"/>
      <c r="AH332" s="106"/>
      <c r="AI332" s="106"/>
      <c r="AJ332" s="106"/>
      <c r="AK332" s="106"/>
      <c r="AL332" s="106"/>
      <c r="AM332" s="106"/>
      <c r="AN332" s="106"/>
      <c r="AO332" s="106"/>
      <c r="AP332" s="106"/>
      <c r="AQ332" s="106"/>
      <c r="AR332" s="106"/>
      <c r="AS332" s="106"/>
      <c r="AT332" s="106"/>
      <c r="AU332" s="106"/>
      <c r="AV332" s="106"/>
      <c r="AW332" s="106"/>
    </row>
    <row r="333" spans="1:49" ht="15.75" customHeight="1" thickBot="1" x14ac:dyDescent="0.4">
      <c r="AC333" s="106"/>
      <c r="AD333" s="106"/>
      <c r="AE333" s="106"/>
      <c r="AF333" s="106"/>
      <c r="AG333" s="106"/>
      <c r="AH333" s="106"/>
      <c r="AI333" s="106"/>
      <c r="AJ333" s="106"/>
      <c r="AK333" s="106"/>
      <c r="AL333" s="106"/>
      <c r="AM333" s="106"/>
      <c r="AN333" s="106"/>
      <c r="AO333" s="106"/>
      <c r="AP333" s="106"/>
      <c r="AQ333" s="106"/>
      <c r="AR333" s="106"/>
      <c r="AS333" s="106"/>
      <c r="AT333" s="106"/>
      <c r="AU333" s="106"/>
      <c r="AV333" s="106"/>
      <c r="AW333" s="106"/>
    </row>
    <row r="334" spans="1:49" ht="15.75" customHeight="1" thickBot="1" x14ac:dyDescent="0.4">
      <c r="AC334" s="106"/>
      <c r="AD334" s="106"/>
      <c r="AE334" s="106"/>
      <c r="AF334" s="106"/>
      <c r="AG334" s="106"/>
      <c r="AH334" s="106"/>
      <c r="AI334" s="106"/>
      <c r="AJ334" s="106"/>
      <c r="AK334" s="106"/>
      <c r="AL334" s="106"/>
      <c r="AM334" s="106"/>
      <c r="AN334" s="106"/>
      <c r="AO334" s="106"/>
      <c r="AP334" s="106"/>
      <c r="AQ334" s="106"/>
      <c r="AR334" s="106"/>
      <c r="AS334" s="106"/>
      <c r="AT334" s="106"/>
      <c r="AU334" s="106"/>
      <c r="AV334" s="106"/>
      <c r="AW334" s="106"/>
    </row>
    <row r="335" spans="1:49" ht="15.75" customHeight="1" thickBot="1" x14ac:dyDescent="0.4">
      <c r="AC335" s="106"/>
      <c r="AD335" s="106"/>
      <c r="AE335" s="106"/>
      <c r="AF335" s="106"/>
      <c r="AG335" s="106"/>
      <c r="AH335" s="106"/>
      <c r="AI335" s="106"/>
      <c r="AJ335" s="106"/>
      <c r="AK335" s="106"/>
      <c r="AL335" s="106"/>
      <c r="AM335" s="106"/>
      <c r="AN335" s="106"/>
      <c r="AO335" s="106"/>
      <c r="AP335" s="106"/>
      <c r="AQ335" s="106"/>
      <c r="AR335" s="106"/>
      <c r="AS335" s="106"/>
      <c r="AT335" s="106"/>
      <c r="AU335" s="106"/>
      <c r="AV335" s="106"/>
      <c r="AW335" s="106"/>
    </row>
    <row r="336" spans="1:49" ht="15.75" customHeight="1" thickBot="1" x14ac:dyDescent="0.4">
      <c r="AC336" s="106"/>
      <c r="AD336" s="106"/>
      <c r="AE336" s="106"/>
      <c r="AF336" s="106"/>
      <c r="AG336" s="106"/>
      <c r="AH336" s="106"/>
      <c r="AI336" s="106"/>
      <c r="AJ336" s="106"/>
      <c r="AK336" s="106"/>
      <c r="AL336" s="106"/>
      <c r="AM336" s="106"/>
      <c r="AN336" s="106"/>
      <c r="AO336" s="106"/>
      <c r="AP336" s="106"/>
      <c r="AQ336" s="106"/>
      <c r="AR336" s="106"/>
      <c r="AS336" s="106"/>
      <c r="AT336" s="106"/>
      <c r="AU336" s="106"/>
      <c r="AV336" s="106"/>
      <c r="AW336" s="106"/>
    </row>
    <row r="337" spans="29:49" ht="15.75" customHeight="1" thickBot="1" x14ac:dyDescent="0.4">
      <c r="AC337" s="106"/>
      <c r="AD337" s="106"/>
      <c r="AE337" s="106"/>
      <c r="AF337" s="106"/>
      <c r="AG337" s="106"/>
      <c r="AH337" s="106"/>
      <c r="AI337" s="106"/>
      <c r="AJ337" s="106"/>
      <c r="AK337" s="106"/>
      <c r="AL337" s="106"/>
      <c r="AM337" s="106"/>
      <c r="AN337" s="106"/>
      <c r="AO337" s="106"/>
      <c r="AP337" s="106"/>
      <c r="AQ337" s="106"/>
      <c r="AR337" s="106"/>
      <c r="AS337" s="106"/>
      <c r="AT337" s="106"/>
      <c r="AU337" s="106"/>
      <c r="AV337" s="106"/>
      <c r="AW337" s="106"/>
    </row>
    <row r="338" spans="29:49" ht="15.75" customHeight="1" thickBot="1" x14ac:dyDescent="0.4">
      <c r="AC338" s="106"/>
      <c r="AD338" s="106"/>
      <c r="AE338" s="106"/>
      <c r="AF338" s="106"/>
      <c r="AG338" s="106"/>
      <c r="AH338" s="106"/>
      <c r="AI338" s="106"/>
      <c r="AJ338" s="106"/>
      <c r="AK338" s="106"/>
      <c r="AL338" s="106"/>
      <c r="AM338" s="106"/>
      <c r="AN338" s="106"/>
      <c r="AO338" s="106"/>
      <c r="AP338" s="106"/>
      <c r="AQ338" s="106"/>
      <c r="AR338" s="106"/>
      <c r="AS338" s="106"/>
      <c r="AT338" s="106"/>
      <c r="AU338" s="106"/>
      <c r="AV338" s="106"/>
      <c r="AW338" s="106"/>
    </row>
    <row r="339" spans="29:49" ht="15.75" customHeight="1" thickBot="1" x14ac:dyDescent="0.4">
      <c r="AC339" s="106"/>
      <c r="AD339" s="106"/>
      <c r="AE339" s="106"/>
      <c r="AF339" s="106"/>
      <c r="AG339" s="106"/>
      <c r="AH339" s="106"/>
      <c r="AI339" s="106"/>
      <c r="AJ339" s="106"/>
      <c r="AK339" s="106"/>
      <c r="AL339" s="106"/>
      <c r="AM339" s="106"/>
      <c r="AN339" s="106"/>
      <c r="AO339" s="106"/>
      <c r="AP339" s="106"/>
      <c r="AQ339" s="106"/>
      <c r="AR339" s="106"/>
      <c r="AS339" s="106"/>
      <c r="AT339" s="106"/>
      <c r="AU339" s="106"/>
      <c r="AV339" s="106"/>
      <c r="AW339" s="106"/>
    </row>
    <row r="340" spans="29:49" ht="15.75" customHeight="1" thickBot="1" x14ac:dyDescent="0.4">
      <c r="AC340" s="106"/>
      <c r="AD340" s="106"/>
      <c r="AE340" s="106"/>
      <c r="AF340" s="106"/>
      <c r="AG340" s="106"/>
      <c r="AH340" s="106"/>
      <c r="AI340" s="106"/>
      <c r="AJ340" s="106"/>
      <c r="AK340" s="106"/>
      <c r="AL340" s="106"/>
      <c r="AM340" s="106"/>
      <c r="AN340" s="106"/>
      <c r="AO340" s="106"/>
      <c r="AP340" s="106"/>
      <c r="AQ340" s="106"/>
      <c r="AR340" s="106"/>
      <c r="AS340" s="106"/>
      <c r="AT340" s="106"/>
      <c r="AU340" s="106"/>
      <c r="AV340" s="106"/>
      <c r="AW340" s="106"/>
    </row>
    <row r="341" spans="29:49" ht="15.75" customHeight="1" thickBot="1" x14ac:dyDescent="0.4">
      <c r="AC341" s="106"/>
      <c r="AD341" s="106"/>
      <c r="AE341" s="106"/>
      <c r="AF341" s="106"/>
      <c r="AG341" s="106"/>
      <c r="AH341" s="106"/>
      <c r="AI341" s="106"/>
      <c r="AJ341" s="106"/>
      <c r="AK341" s="106"/>
      <c r="AL341" s="106"/>
      <c r="AM341" s="106"/>
      <c r="AN341" s="106"/>
      <c r="AO341" s="106"/>
      <c r="AP341" s="106"/>
      <c r="AQ341" s="106"/>
      <c r="AR341" s="106"/>
      <c r="AS341" s="106"/>
      <c r="AT341" s="106"/>
      <c r="AU341" s="106"/>
      <c r="AV341" s="106"/>
      <c r="AW341" s="106"/>
    </row>
    <row r="342" spans="29:49" ht="15.75" customHeight="1" thickBot="1" x14ac:dyDescent="0.4">
      <c r="AC342" s="106"/>
      <c r="AD342" s="106"/>
      <c r="AE342" s="106"/>
      <c r="AF342" s="106"/>
      <c r="AG342" s="106"/>
      <c r="AH342" s="106"/>
      <c r="AI342" s="106"/>
      <c r="AJ342" s="106"/>
      <c r="AK342" s="106"/>
      <c r="AL342" s="106"/>
      <c r="AM342" s="106"/>
      <c r="AN342" s="106"/>
      <c r="AO342" s="106"/>
      <c r="AP342" s="106"/>
      <c r="AQ342" s="106"/>
      <c r="AR342" s="106"/>
      <c r="AS342" s="106"/>
      <c r="AT342" s="106"/>
      <c r="AU342" s="106"/>
      <c r="AV342" s="106"/>
      <c r="AW342" s="106"/>
    </row>
    <row r="343" spans="29:49" ht="15.75" customHeight="1" thickBot="1" x14ac:dyDescent="0.4">
      <c r="AC343" s="106"/>
      <c r="AD343" s="106"/>
      <c r="AE343" s="106"/>
      <c r="AF343" s="106"/>
      <c r="AG343" s="106"/>
      <c r="AH343" s="106"/>
      <c r="AI343" s="106"/>
      <c r="AJ343" s="106"/>
      <c r="AK343" s="106"/>
      <c r="AL343" s="106"/>
      <c r="AM343" s="106"/>
      <c r="AN343" s="106"/>
      <c r="AO343" s="106"/>
      <c r="AP343" s="106"/>
      <c r="AQ343" s="106"/>
      <c r="AR343" s="106"/>
      <c r="AS343" s="106"/>
      <c r="AT343" s="106"/>
      <c r="AU343" s="106"/>
      <c r="AV343" s="106"/>
      <c r="AW343" s="106"/>
    </row>
    <row r="344" spans="29:49" ht="15.75" customHeight="1" thickBot="1" x14ac:dyDescent="0.4">
      <c r="AC344" s="106"/>
      <c r="AD344" s="106"/>
      <c r="AE344" s="106"/>
      <c r="AF344" s="106"/>
      <c r="AG344" s="106"/>
      <c r="AH344" s="106"/>
      <c r="AI344" s="106"/>
      <c r="AJ344" s="106"/>
      <c r="AK344" s="106"/>
      <c r="AL344" s="106"/>
      <c r="AM344" s="106"/>
      <c r="AN344" s="106"/>
      <c r="AO344" s="106"/>
      <c r="AP344" s="106"/>
      <c r="AQ344" s="106"/>
      <c r="AR344" s="106"/>
      <c r="AS344" s="106"/>
      <c r="AT344" s="106"/>
      <c r="AU344" s="106"/>
      <c r="AV344" s="106"/>
      <c r="AW344" s="106"/>
    </row>
    <row r="345" spans="29:49" ht="15.75" customHeight="1" thickBot="1" x14ac:dyDescent="0.4">
      <c r="AC345" s="106"/>
      <c r="AD345" s="106"/>
      <c r="AE345" s="106"/>
      <c r="AF345" s="106"/>
      <c r="AG345" s="106"/>
      <c r="AH345" s="106"/>
      <c r="AI345" s="106"/>
      <c r="AJ345" s="106"/>
      <c r="AK345" s="106"/>
      <c r="AL345" s="106"/>
      <c r="AM345" s="106"/>
      <c r="AN345" s="106"/>
      <c r="AO345" s="106"/>
      <c r="AP345" s="106"/>
      <c r="AQ345" s="106"/>
      <c r="AR345" s="106"/>
      <c r="AS345" s="106"/>
      <c r="AT345" s="106"/>
      <c r="AU345" s="106"/>
      <c r="AV345" s="106"/>
      <c r="AW345" s="106"/>
    </row>
    <row r="346" spans="29:49" ht="15.75" customHeight="1" thickBot="1" x14ac:dyDescent="0.4">
      <c r="AC346" s="106"/>
      <c r="AD346" s="106"/>
      <c r="AE346" s="106"/>
      <c r="AF346" s="106"/>
      <c r="AG346" s="106"/>
      <c r="AH346" s="106"/>
      <c r="AI346" s="106"/>
      <c r="AJ346" s="106"/>
      <c r="AK346" s="106"/>
      <c r="AL346" s="106"/>
      <c r="AM346" s="106"/>
      <c r="AN346" s="106"/>
      <c r="AO346" s="106"/>
      <c r="AP346" s="106"/>
      <c r="AQ346" s="106"/>
      <c r="AR346" s="106"/>
      <c r="AS346" s="106"/>
      <c r="AT346" s="106"/>
      <c r="AU346" s="106"/>
      <c r="AV346" s="106"/>
      <c r="AW346" s="106"/>
    </row>
    <row r="347" spans="29:49" ht="15.75" customHeight="1" thickBot="1" x14ac:dyDescent="0.4">
      <c r="AC347" s="106"/>
      <c r="AD347" s="106"/>
      <c r="AE347" s="106"/>
      <c r="AF347" s="106"/>
      <c r="AG347" s="106"/>
      <c r="AH347" s="106"/>
      <c r="AI347" s="106"/>
      <c r="AJ347" s="106"/>
      <c r="AK347" s="106"/>
      <c r="AL347" s="106"/>
      <c r="AM347" s="106"/>
      <c r="AN347" s="106"/>
      <c r="AO347" s="106"/>
      <c r="AP347" s="106"/>
      <c r="AQ347" s="106"/>
      <c r="AR347" s="106"/>
      <c r="AS347" s="106"/>
      <c r="AT347" s="106"/>
      <c r="AU347" s="106"/>
      <c r="AV347" s="106"/>
      <c r="AW347" s="106"/>
    </row>
    <row r="348" spans="29:49" ht="15.75" customHeight="1" thickBot="1" x14ac:dyDescent="0.4">
      <c r="AC348" s="106"/>
      <c r="AD348" s="106"/>
      <c r="AE348" s="106"/>
      <c r="AF348" s="106"/>
      <c r="AG348" s="106"/>
      <c r="AH348" s="106"/>
      <c r="AI348" s="106"/>
      <c r="AJ348" s="106"/>
      <c r="AK348" s="106"/>
      <c r="AL348" s="106"/>
      <c r="AM348" s="106"/>
      <c r="AN348" s="106"/>
      <c r="AO348" s="106"/>
      <c r="AP348" s="106"/>
      <c r="AQ348" s="106"/>
      <c r="AR348" s="106"/>
      <c r="AS348" s="106"/>
      <c r="AT348" s="106"/>
      <c r="AU348" s="106"/>
      <c r="AV348" s="106"/>
      <c r="AW348" s="106"/>
    </row>
    <row r="349" spans="29:49" ht="15.75" customHeight="1" thickBot="1" x14ac:dyDescent="0.4">
      <c r="AC349" s="106"/>
      <c r="AD349" s="106"/>
      <c r="AE349" s="106"/>
      <c r="AF349" s="106"/>
      <c r="AG349" s="106"/>
      <c r="AH349" s="106"/>
      <c r="AI349" s="106"/>
      <c r="AJ349" s="106"/>
      <c r="AK349" s="106"/>
      <c r="AL349" s="106"/>
      <c r="AM349" s="106"/>
      <c r="AN349" s="106"/>
      <c r="AO349" s="106"/>
      <c r="AP349" s="106"/>
      <c r="AQ349" s="106"/>
      <c r="AR349" s="106"/>
      <c r="AS349" s="106"/>
      <c r="AT349" s="106"/>
      <c r="AU349" s="106"/>
      <c r="AV349" s="106"/>
      <c r="AW349" s="106"/>
    </row>
    <row r="350" spans="29:49" ht="15.75" customHeight="1" thickBot="1" x14ac:dyDescent="0.4">
      <c r="AC350" s="106"/>
      <c r="AD350" s="106"/>
      <c r="AE350" s="106"/>
      <c r="AF350" s="106"/>
      <c r="AG350" s="106"/>
      <c r="AH350" s="106"/>
      <c r="AI350" s="106"/>
      <c r="AJ350" s="106"/>
      <c r="AK350" s="106"/>
      <c r="AL350" s="106"/>
      <c r="AM350" s="106"/>
      <c r="AN350" s="106"/>
      <c r="AO350" s="106"/>
      <c r="AP350" s="106"/>
      <c r="AQ350" s="106"/>
      <c r="AR350" s="106"/>
      <c r="AS350" s="106"/>
      <c r="AT350" s="106"/>
      <c r="AU350" s="106"/>
      <c r="AV350" s="106"/>
      <c r="AW350" s="106"/>
    </row>
    <row r="351" spans="29:49" ht="15.75" customHeight="1" thickBot="1" x14ac:dyDescent="0.4">
      <c r="AC351" s="106"/>
      <c r="AD351" s="106"/>
      <c r="AE351" s="106"/>
      <c r="AF351" s="106"/>
      <c r="AG351" s="106"/>
      <c r="AH351" s="106"/>
      <c r="AI351" s="106"/>
      <c r="AJ351" s="106"/>
      <c r="AK351" s="106"/>
      <c r="AL351" s="106"/>
      <c r="AM351" s="106"/>
      <c r="AN351" s="106"/>
      <c r="AO351" s="106"/>
      <c r="AP351" s="106"/>
      <c r="AQ351" s="106"/>
      <c r="AR351" s="106"/>
      <c r="AS351" s="106"/>
      <c r="AT351" s="106"/>
      <c r="AU351" s="106"/>
      <c r="AV351" s="106"/>
      <c r="AW351" s="106"/>
    </row>
    <row r="352" spans="29:49" ht="15.75" customHeight="1" thickBot="1" x14ac:dyDescent="0.4">
      <c r="AC352" s="106"/>
      <c r="AD352" s="106"/>
      <c r="AE352" s="106"/>
      <c r="AF352" s="106"/>
      <c r="AG352" s="106"/>
      <c r="AH352" s="106"/>
      <c r="AI352" s="106"/>
      <c r="AJ352" s="106"/>
      <c r="AK352" s="106"/>
      <c r="AL352" s="106"/>
      <c r="AM352" s="106"/>
      <c r="AN352" s="106"/>
      <c r="AO352" s="106"/>
      <c r="AP352" s="106"/>
      <c r="AQ352" s="106"/>
      <c r="AR352" s="106"/>
      <c r="AS352" s="106"/>
      <c r="AT352" s="106"/>
      <c r="AU352" s="106"/>
      <c r="AV352" s="106"/>
      <c r="AW352" s="106"/>
    </row>
    <row r="353" spans="29:49" ht="15.75" customHeight="1" thickBot="1" x14ac:dyDescent="0.4">
      <c r="AC353" s="106"/>
      <c r="AD353" s="106"/>
      <c r="AE353" s="106"/>
      <c r="AF353" s="106"/>
      <c r="AG353" s="106"/>
      <c r="AH353" s="106"/>
      <c r="AI353" s="106"/>
      <c r="AJ353" s="106"/>
      <c r="AK353" s="106"/>
      <c r="AL353" s="106"/>
      <c r="AM353" s="106"/>
      <c r="AN353" s="106"/>
      <c r="AO353" s="106"/>
      <c r="AP353" s="106"/>
      <c r="AQ353" s="106"/>
      <c r="AR353" s="106"/>
      <c r="AS353" s="106"/>
      <c r="AT353" s="106"/>
      <c r="AU353" s="106"/>
      <c r="AV353" s="106"/>
      <c r="AW353" s="106"/>
    </row>
    <row r="354" spans="29:49" ht="15.75" customHeight="1" thickBot="1" x14ac:dyDescent="0.4">
      <c r="AC354" s="106"/>
      <c r="AD354" s="106"/>
      <c r="AE354" s="106"/>
      <c r="AF354" s="106"/>
      <c r="AG354" s="106"/>
      <c r="AH354" s="106"/>
      <c r="AI354" s="106"/>
      <c r="AJ354" s="106"/>
      <c r="AK354" s="106"/>
      <c r="AL354" s="106"/>
      <c r="AM354" s="106"/>
      <c r="AN354" s="106"/>
      <c r="AO354" s="106"/>
      <c r="AP354" s="106"/>
      <c r="AQ354" s="106"/>
      <c r="AR354" s="106"/>
      <c r="AS354" s="106"/>
      <c r="AT354" s="106"/>
      <c r="AU354" s="106"/>
      <c r="AV354" s="106"/>
      <c r="AW354" s="106"/>
    </row>
    <row r="355" spans="29:49" ht="15.75" customHeight="1" thickBot="1" x14ac:dyDescent="0.4">
      <c r="AC355" s="106"/>
      <c r="AD355" s="106"/>
      <c r="AE355" s="106"/>
      <c r="AF355" s="106"/>
      <c r="AG355" s="106"/>
      <c r="AH355" s="106"/>
      <c r="AI355" s="106"/>
      <c r="AJ355" s="106"/>
      <c r="AK355" s="106"/>
      <c r="AL355" s="106"/>
      <c r="AM355" s="106"/>
      <c r="AN355" s="106"/>
      <c r="AO355" s="106"/>
      <c r="AP355" s="106"/>
      <c r="AQ355" s="106"/>
      <c r="AR355" s="106"/>
      <c r="AS355" s="106"/>
      <c r="AT355" s="106"/>
      <c r="AU355" s="106"/>
      <c r="AV355" s="106"/>
      <c r="AW355" s="106"/>
    </row>
    <row r="356" spans="29:49" ht="15.75" customHeight="1" thickBot="1" x14ac:dyDescent="0.4">
      <c r="AC356" s="106"/>
      <c r="AD356" s="106"/>
      <c r="AE356" s="106"/>
      <c r="AF356" s="106"/>
      <c r="AG356" s="106"/>
      <c r="AH356" s="106"/>
      <c r="AI356" s="106"/>
      <c r="AJ356" s="106"/>
      <c r="AK356" s="106"/>
      <c r="AL356" s="106"/>
      <c r="AM356" s="106"/>
      <c r="AN356" s="106"/>
      <c r="AO356" s="106"/>
      <c r="AP356" s="106"/>
      <c r="AQ356" s="106"/>
      <c r="AR356" s="106"/>
      <c r="AS356" s="106"/>
      <c r="AT356" s="106"/>
      <c r="AU356" s="106"/>
      <c r="AV356" s="106"/>
      <c r="AW356" s="106"/>
    </row>
    <row r="357" spans="29:49" ht="15.75" customHeight="1" thickBot="1" x14ac:dyDescent="0.4">
      <c r="AC357" s="106"/>
      <c r="AD357" s="106"/>
      <c r="AE357" s="106"/>
      <c r="AF357" s="106"/>
      <c r="AG357" s="106"/>
      <c r="AH357" s="106"/>
      <c r="AI357" s="106"/>
      <c r="AJ357" s="106"/>
      <c r="AK357" s="106"/>
      <c r="AL357" s="106"/>
      <c r="AM357" s="106"/>
      <c r="AN357" s="106"/>
      <c r="AO357" s="106"/>
      <c r="AP357" s="106"/>
      <c r="AQ357" s="106"/>
      <c r="AR357" s="106"/>
      <c r="AS357" s="106"/>
      <c r="AT357" s="106"/>
      <c r="AU357" s="106"/>
      <c r="AV357" s="106"/>
      <c r="AW357" s="106"/>
    </row>
    <row r="358" spans="29:49" ht="15.75" customHeight="1" thickBot="1" x14ac:dyDescent="0.4">
      <c r="AC358" s="106"/>
      <c r="AD358" s="106"/>
      <c r="AE358" s="106"/>
      <c r="AF358" s="106"/>
      <c r="AG358" s="106"/>
      <c r="AH358" s="106"/>
      <c r="AI358" s="106"/>
      <c r="AJ358" s="106"/>
      <c r="AK358" s="106"/>
      <c r="AL358" s="106"/>
      <c r="AM358" s="106"/>
      <c r="AN358" s="106"/>
      <c r="AO358" s="106"/>
      <c r="AP358" s="106"/>
      <c r="AQ358" s="106"/>
      <c r="AR358" s="106"/>
      <c r="AS358" s="106"/>
      <c r="AT358" s="106"/>
      <c r="AU358" s="106"/>
      <c r="AV358" s="106"/>
      <c r="AW358" s="106"/>
    </row>
    <row r="359" spans="29:49" ht="15.75" customHeight="1" thickBot="1" x14ac:dyDescent="0.4">
      <c r="AC359" s="106"/>
      <c r="AD359" s="106"/>
      <c r="AE359" s="106"/>
      <c r="AF359" s="106"/>
      <c r="AG359" s="106"/>
      <c r="AH359" s="106"/>
      <c r="AI359" s="106"/>
      <c r="AJ359" s="106"/>
      <c r="AK359" s="106"/>
      <c r="AL359" s="106"/>
      <c r="AM359" s="106"/>
      <c r="AN359" s="106"/>
      <c r="AO359" s="106"/>
      <c r="AP359" s="106"/>
      <c r="AQ359" s="106"/>
      <c r="AR359" s="106"/>
      <c r="AS359" s="106"/>
      <c r="AT359" s="106"/>
      <c r="AU359" s="106"/>
      <c r="AV359" s="106"/>
      <c r="AW359" s="106"/>
    </row>
    <row r="360" spans="29:49" ht="15.75" customHeight="1" thickBot="1" x14ac:dyDescent="0.4">
      <c r="AC360" s="106"/>
      <c r="AD360" s="106"/>
      <c r="AE360" s="106"/>
      <c r="AF360" s="106"/>
      <c r="AG360" s="106"/>
      <c r="AH360" s="106"/>
      <c r="AI360" s="106"/>
      <c r="AJ360" s="106"/>
      <c r="AK360" s="106"/>
      <c r="AL360" s="106"/>
      <c r="AM360" s="106"/>
      <c r="AN360" s="106"/>
      <c r="AO360" s="106"/>
      <c r="AP360" s="106"/>
      <c r="AQ360" s="106"/>
      <c r="AR360" s="106"/>
      <c r="AS360" s="106"/>
      <c r="AT360" s="106"/>
      <c r="AU360" s="106"/>
      <c r="AV360" s="106"/>
      <c r="AW360" s="106"/>
    </row>
    <row r="361" spans="29:49" ht="15.75" customHeight="1" thickBot="1" x14ac:dyDescent="0.4">
      <c r="AC361" s="106"/>
      <c r="AD361" s="106"/>
      <c r="AE361" s="106"/>
      <c r="AF361" s="106"/>
      <c r="AG361" s="106"/>
      <c r="AH361" s="106"/>
      <c r="AI361" s="106"/>
      <c r="AJ361" s="106"/>
      <c r="AK361" s="106"/>
      <c r="AL361" s="106"/>
      <c r="AM361" s="106"/>
      <c r="AN361" s="106"/>
      <c r="AO361" s="106"/>
      <c r="AP361" s="106"/>
      <c r="AQ361" s="106"/>
      <c r="AR361" s="106"/>
      <c r="AS361" s="106"/>
      <c r="AT361" s="106"/>
      <c r="AU361" s="106"/>
      <c r="AV361" s="106"/>
      <c r="AW361" s="106"/>
    </row>
    <row r="362" spans="29:49" ht="15.75" customHeight="1" thickBot="1" x14ac:dyDescent="0.4">
      <c r="AC362" s="106"/>
      <c r="AD362" s="106"/>
      <c r="AE362" s="106"/>
      <c r="AF362" s="106"/>
      <c r="AG362" s="106"/>
      <c r="AH362" s="106"/>
      <c r="AI362" s="106"/>
      <c r="AJ362" s="106"/>
      <c r="AK362" s="106"/>
      <c r="AL362" s="106"/>
      <c r="AM362" s="106"/>
      <c r="AN362" s="106"/>
      <c r="AO362" s="106"/>
      <c r="AP362" s="106"/>
      <c r="AQ362" s="106"/>
      <c r="AR362" s="106"/>
      <c r="AS362" s="106"/>
      <c r="AT362" s="106"/>
      <c r="AU362" s="106"/>
      <c r="AV362" s="106"/>
      <c r="AW362" s="106"/>
    </row>
    <row r="363" spans="29:49" ht="15.75" customHeight="1" thickBot="1" x14ac:dyDescent="0.4">
      <c r="AC363" s="106"/>
      <c r="AD363" s="106"/>
      <c r="AE363" s="106"/>
      <c r="AF363" s="106"/>
      <c r="AG363" s="106"/>
      <c r="AH363" s="106"/>
      <c r="AI363" s="106"/>
      <c r="AJ363" s="106"/>
      <c r="AK363" s="106"/>
      <c r="AL363" s="106"/>
      <c r="AM363" s="106"/>
      <c r="AN363" s="106"/>
      <c r="AO363" s="106"/>
      <c r="AP363" s="106"/>
      <c r="AQ363" s="106"/>
      <c r="AR363" s="106"/>
      <c r="AS363" s="106"/>
      <c r="AT363" s="106"/>
      <c r="AU363" s="106"/>
      <c r="AV363" s="106"/>
      <c r="AW363" s="106"/>
    </row>
    <row r="364" spans="29:49" ht="15.75" customHeight="1" thickBot="1" x14ac:dyDescent="0.4">
      <c r="AC364" s="106"/>
      <c r="AD364" s="106"/>
      <c r="AE364" s="106"/>
      <c r="AF364" s="106"/>
      <c r="AG364" s="106"/>
      <c r="AH364" s="106"/>
      <c r="AI364" s="106"/>
      <c r="AJ364" s="106"/>
      <c r="AK364" s="106"/>
      <c r="AL364" s="106"/>
      <c r="AM364" s="106"/>
      <c r="AN364" s="106"/>
      <c r="AO364" s="106"/>
      <c r="AP364" s="106"/>
      <c r="AQ364" s="106"/>
      <c r="AR364" s="106"/>
      <c r="AS364" s="106"/>
      <c r="AT364" s="106"/>
      <c r="AU364" s="106"/>
      <c r="AV364" s="106"/>
      <c r="AW364" s="106"/>
    </row>
    <row r="365" spans="29:49" ht="15.75" customHeight="1" thickBot="1" x14ac:dyDescent="0.4">
      <c r="AC365" s="106"/>
      <c r="AD365" s="106"/>
      <c r="AE365" s="106"/>
      <c r="AF365" s="106"/>
      <c r="AG365" s="106"/>
      <c r="AH365" s="106"/>
      <c r="AI365" s="106"/>
      <c r="AJ365" s="106"/>
      <c r="AK365" s="106"/>
      <c r="AL365" s="106"/>
      <c r="AM365" s="106"/>
      <c r="AN365" s="106"/>
      <c r="AO365" s="106"/>
      <c r="AP365" s="106"/>
      <c r="AQ365" s="106"/>
      <c r="AR365" s="106"/>
      <c r="AS365" s="106"/>
      <c r="AT365" s="106"/>
      <c r="AU365" s="106"/>
      <c r="AV365" s="106"/>
      <c r="AW365" s="106"/>
    </row>
    <row r="366" spans="29:49" ht="15.75" customHeight="1" thickBot="1" x14ac:dyDescent="0.4">
      <c r="AC366" s="106"/>
      <c r="AD366" s="106"/>
      <c r="AE366" s="106"/>
      <c r="AF366" s="106"/>
      <c r="AG366" s="106"/>
      <c r="AH366" s="106"/>
      <c r="AI366" s="106"/>
      <c r="AJ366" s="106"/>
      <c r="AK366" s="106"/>
      <c r="AL366" s="106"/>
      <c r="AM366" s="106"/>
      <c r="AN366" s="106"/>
      <c r="AO366" s="106"/>
      <c r="AP366" s="106"/>
      <c r="AQ366" s="106"/>
      <c r="AR366" s="106"/>
      <c r="AS366" s="106"/>
      <c r="AT366" s="106"/>
      <c r="AU366" s="106"/>
      <c r="AV366" s="106"/>
      <c r="AW366" s="106"/>
    </row>
    <row r="367" spans="29:49" ht="15.75" customHeight="1" thickBot="1" x14ac:dyDescent="0.4">
      <c r="AC367" s="106"/>
      <c r="AD367" s="106"/>
      <c r="AE367" s="106"/>
      <c r="AF367" s="106"/>
      <c r="AG367" s="106"/>
      <c r="AH367" s="106"/>
      <c r="AI367" s="106"/>
      <c r="AJ367" s="106"/>
      <c r="AK367" s="106"/>
      <c r="AL367" s="106"/>
      <c r="AM367" s="106"/>
      <c r="AN367" s="106"/>
      <c r="AO367" s="106"/>
      <c r="AP367" s="106"/>
      <c r="AQ367" s="106"/>
      <c r="AR367" s="106"/>
      <c r="AS367" s="106"/>
      <c r="AT367" s="106"/>
      <c r="AU367" s="106"/>
      <c r="AV367" s="106"/>
      <c r="AW367" s="106"/>
    </row>
    <row r="368" spans="29:49" ht="15.75" customHeight="1" thickBot="1" x14ac:dyDescent="0.4">
      <c r="AC368" s="106"/>
      <c r="AD368" s="106"/>
      <c r="AE368" s="106"/>
      <c r="AF368" s="106"/>
      <c r="AG368" s="106"/>
      <c r="AH368" s="106"/>
      <c r="AI368" s="106"/>
      <c r="AJ368" s="106"/>
      <c r="AK368" s="106"/>
      <c r="AL368" s="106"/>
      <c r="AM368" s="106"/>
      <c r="AN368" s="106"/>
      <c r="AO368" s="106"/>
      <c r="AP368" s="106"/>
      <c r="AQ368" s="106"/>
      <c r="AR368" s="106"/>
      <c r="AS368" s="106"/>
      <c r="AT368" s="106"/>
      <c r="AU368" s="106"/>
      <c r="AV368" s="106"/>
      <c r="AW368" s="106"/>
    </row>
    <row r="369" spans="29:49" ht="15.75" customHeight="1" thickBot="1" x14ac:dyDescent="0.4">
      <c r="AC369" s="106"/>
      <c r="AD369" s="106"/>
      <c r="AE369" s="106"/>
      <c r="AF369" s="106"/>
      <c r="AG369" s="106"/>
      <c r="AH369" s="106"/>
      <c r="AI369" s="106"/>
      <c r="AJ369" s="106"/>
      <c r="AK369" s="106"/>
      <c r="AL369" s="106"/>
      <c r="AM369" s="106"/>
      <c r="AN369" s="106"/>
      <c r="AO369" s="106"/>
      <c r="AP369" s="106"/>
      <c r="AQ369" s="106"/>
      <c r="AR369" s="106"/>
      <c r="AS369" s="106"/>
      <c r="AT369" s="106"/>
      <c r="AU369" s="106"/>
      <c r="AV369" s="106"/>
      <c r="AW369" s="106"/>
    </row>
    <row r="370" spans="29:49" ht="15.75" customHeight="1" thickBot="1" x14ac:dyDescent="0.4">
      <c r="AC370" s="106"/>
      <c r="AD370" s="106"/>
      <c r="AE370" s="106"/>
      <c r="AF370" s="106"/>
      <c r="AG370" s="106"/>
      <c r="AH370" s="106"/>
      <c r="AI370" s="106"/>
      <c r="AJ370" s="106"/>
      <c r="AK370" s="106"/>
      <c r="AL370" s="106"/>
      <c r="AM370" s="106"/>
      <c r="AN370" s="106"/>
      <c r="AO370" s="106"/>
      <c r="AP370" s="106"/>
      <c r="AQ370" s="106"/>
      <c r="AR370" s="106"/>
      <c r="AS370" s="106"/>
      <c r="AT370" s="106"/>
      <c r="AU370" s="106"/>
      <c r="AV370" s="106"/>
      <c r="AW370" s="106"/>
    </row>
    <row r="371" spans="29:49" ht="15.75" customHeight="1" thickBot="1" x14ac:dyDescent="0.4">
      <c r="AC371" s="106"/>
      <c r="AD371" s="106"/>
      <c r="AE371" s="106"/>
      <c r="AF371" s="106"/>
      <c r="AG371" s="106"/>
      <c r="AH371" s="106"/>
      <c r="AI371" s="106"/>
      <c r="AJ371" s="106"/>
      <c r="AK371" s="106"/>
      <c r="AL371" s="106"/>
      <c r="AM371" s="106"/>
      <c r="AN371" s="106"/>
      <c r="AO371" s="106"/>
      <c r="AP371" s="106"/>
      <c r="AQ371" s="106"/>
      <c r="AR371" s="106"/>
      <c r="AS371" s="106"/>
      <c r="AT371" s="106"/>
      <c r="AU371" s="106"/>
      <c r="AV371" s="106"/>
      <c r="AW371" s="106"/>
    </row>
    <row r="372" spans="29:49" ht="15.75" customHeight="1" thickBot="1" x14ac:dyDescent="0.4">
      <c r="AC372" s="106"/>
      <c r="AD372" s="106"/>
      <c r="AE372" s="106"/>
      <c r="AF372" s="106"/>
      <c r="AG372" s="106"/>
      <c r="AH372" s="106"/>
      <c r="AI372" s="106"/>
      <c r="AJ372" s="106"/>
      <c r="AK372" s="106"/>
      <c r="AL372" s="106"/>
      <c r="AM372" s="106"/>
      <c r="AN372" s="106"/>
      <c r="AO372" s="106"/>
      <c r="AP372" s="106"/>
      <c r="AQ372" s="106"/>
      <c r="AR372" s="106"/>
      <c r="AS372" s="106"/>
      <c r="AT372" s="106"/>
      <c r="AU372" s="106"/>
      <c r="AV372" s="106"/>
      <c r="AW372" s="106"/>
    </row>
    <row r="373" spans="29:49" ht="15.75" customHeight="1" thickBot="1" x14ac:dyDescent="0.4">
      <c r="AC373" s="106"/>
      <c r="AD373" s="106"/>
      <c r="AE373" s="106"/>
      <c r="AF373" s="106"/>
      <c r="AG373" s="106"/>
      <c r="AH373" s="106"/>
      <c r="AI373" s="106"/>
      <c r="AJ373" s="106"/>
      <c r="AK373" s="106"/>
      <c r="AL373" s="106"/>
      <c r="AM373" s="106"/>
      <c r="AN373" s="106"/>
      <c r="AO373" s="106"/>
      <c r="AP373" s="106"/>
      <c r="AQ373" s="106"/>
      <c r="AR373" s="106"/>
      <c r="AS373" s="106"/>
      <c r="AT373" s="106"/>
      <c r="AU373" s="106"/>
      <c r="AV373" s="106"/>
      <c r="AW373" s="106"/>
    </row>
    <row r="374" spans="29:49" ht="15.75" customHeight="1" thickBot="1" x14ac:dyDescent="0.4">
      <c r="AC374" s="106"/>
      <c r="AD374" s="106"/>
      <c r="AE374" s="106"/>
      <c r="AF374" s="106"/>
      <c r="AG374" s="106"/>
      <c r="AH374" s="106"/>
      <c r="AI374" s="106"/>
      <c r="AJ374" s="106"/>
      <c r="AK374" s="106"/>
      <c r="AL374" s="106"/>
      <c r="AM374" s="106"/>
      <c r="AN374" s="106"/>
      <c r="AO374" s="106"/>
      <c r="AP374" s="106"/>
      <c r="AQ374" s="106"/>
      <c r="AR374" s="106"/>
      <c r="AS374" s="106"/>
      <c r="AT374" s="106"/>
      <c r="AU374" s="106"/>
      <c r="AV374" s="106"/>
      <c r="AW374" s="106"/>
    </row>
    <row r="375" spans="29:49" ht="15.75" customHeight="1" thickBot="1" x14ac:dyDescent="0.4">
      <c r="AC375" s="106"/>
      <c r="AD375" s="106"/>
      <c r="AE375" s="106"/>
      <c r="AF375" s="106"/>
      <c r="AG375" s="106"/>
      <c r="AH375" s="106"/>
      <c r="AI375" s="106"/>
      <c r="AJ375" s="106"/>
      <c r="AK375" s="106"/>
      <c r="AL375" s="106"/>
      <c r="AM375" s="106"/>
      <c r="AN375" s="106"/>
      <c r="AO375" s="106"/>
      <c r="AP375" s="106"/>
      <c r="AQ375" s="106"/>
      <c r="AR375" s="106"/>
      <c r="AS375" s="106"/>
      <c r="AT375" s="106"/>
      <c r="AU375" s="106"/>
      <c r="AV375" s="106"/>
      <c r="AW375" s="106"/>
    </row>
    <row r="376" spans="29:49" ht="15.75" customHeight="1" thickBot="1" x14ac:dyDescent="0.4">
      <c r="AC376" s="106"/>
      <c r="AD376" s="106"/>
      <c r="AE376" s="106"/>
      <c r="AF376" s="106"/>
      <c r="AG376" s="106"/>
      <c r="AH376" s="106"/>
      <c r="AI376" s="106"/>
      <c r="AJ376" s="106"/>
      <c r="AK376" s="106"/>
      <c r="AL376" s="106"/>
      <c r="AM376" s="106"/>
      <c r="AN376" s="106"/>
      <c r="AO376" s="106"/>
      <c r="AP376" s="106"/>
      <c r="AQ376" s="106"/>
      <c r="AR376" s="106"/>
      <c r="AS376" s="106"/>
      <c r="AT376" s="106"/>
      <c r="AU376" s="106"/>
      <c r="AV376" s="106"/>
      <c r="AW376" s="106"/>
    </row>
    <row r="377" spans="29:49" ht="15.75" customHeight="1" thickBot="1" x14ac:dyDescent="0.4">
      <c r="AC377" s="106"/>
      <c r="AD377" s="106"/>
      <c r="AE377" s="106"/>
      <c r="AF377" s="106"/>
      <c r="AG377" s="106"/>
      <c r="AH377" s="106"/>
      <c r="AI377" s="106"/>
      <c r="AJ377" s="106"/>
      <c r="AK377" s="106"/>
      <c r="AL377" s="106"/>
      <c r="AM377" s="106"/>
      <c r="AN377" s="106"/>
      <c r="AO377" s="106"/>
      <c r="AP377" s="106"/>
      <c r="AQ377" s="106"/>
      <c r="AR377" s="106"/>
      <c r="AS377" s="106"/>
      <c r="AT377" s="106"/>
      <c r="AU377" s="106"/>
      <c r="AV377" s="106"/>
      <c r="AW377" s="106"/>
    </row>
    <row r="378" spans="29:49" ht="15.75" customHeight="1" thickBot="1" x14ac:dyDescent="0.4">
      <c r="AC378" s="106"/>
      <c r="AD378" s="106"/>
      <c r="AE378" s="106"/>
      <c r="AF378" s="106"/>
      <c r="AG378" s="106"/>
      <c r="AH378" s="106"/>
      <c r="AI378" s="106"/>
      <c r="AJ378" s="106"/>
      <c r="AK378" s="106"/>
      <c r="AL378" s="106"/>
      <c r="AM378" s="106"/>
      <c r="AN378" s="106"/>
      <c r="AO378" s="106"/>
      <c r="AP378" s="106"/>
      <c r="AQ378" s="106"/>
      <c r="AR378" s="106"/>
      <c r="AS378" s="106"/>
      <c r="AT378" s="106"/>
      <c r="AU378" s="106"/>
      <c r="AV378" s="106"/>
      <c r="AW378" s="106"/>
    </row>
    <row r="379" spans="29:49" ht="15.75" customHeight="1" thickBot="1" x14ac:dyDescent="0.4">
      <c r="AC379" s="106"/>
      <c r="AD379" s="106"/>
      <c r="AE379" s="106"/>
      <c r="AF379" s="106"/>
      <c r="AG379" s="106"/>
      <c r="AH379" s="106"/>
      <c r="AI379" s="106"/>
      <c r="AJ379" s="106"/>
      <c r="AK379" s="106"/>
      <c r="AL379" s="106"/>
      <c r="AM379" s="106"/>
      <c r="AN379" s="106"/>
      <c r="AO379" s="106"/>
      <c r="AP379" s="106"/>
      <c r="AQ379" s="106"/>
      <c r="AR379" s="106"/>
      <c r="AS379" s="106"/>
      <c r="AT379" s="106"/>
      <c r="AU379" s="106"/>
      <c r="AV379" s="106"/>
      <c r="AW379" s="106"/>
    </row>
    <row r="380" spans="29:49" ht="15.75" customHeight="1" thickBot="1" x14ac:dyDescent="0.4">
      <c r="AC380" s="106"/>
      <c r="AD380" s="106"/>
      <c r="AE380" s="106"/>
      <c r="AF380" s="106"/>
      <c r="AG380" s="106"/>
      <c r="AH380" s="106"/>
      <c r="AI380" s="106"/>
      <c r="AJ380" s="106"/>
      <c r="AK380" s="106"/>
      <c r="AL380" s="106"/>
      <c r="AM380" s="106"/>
      <c r="AN380" s="106"/>
      <c r="AO380" s="106"/>
      <c r="AP380" s="106"/>
      <c r="AQ380" s="106"/>
      <c r="AR380" s="106"/>
      <c r="AS380" s="106"/>
      <c r="AT380" s="106"/>
      <c r="AU380" s="106"/>
      <c r="AV380" s="106"/>
      <c r="AW380" s="106"/>
    </row>
    <row r="381" spans="29:49" ht="15.75" customHeight="1" thickBot="1" x14ac:dyDescent="0.4">
      <c r="AC381" s="106"/>
      <c r="AD381" s="106"/>
      <c r="AE381" s="106"/>
      <c r="AF381" s="106"/>
      <c r="AG381" s="106"/>
      <c r="AH381" s="106"/>
      <c r="AI381" s="106"/>
      <c r="AJ381" s="106"/>
      <c r="AK381" s="106"/>
      <c r="AL381" s="106"/>
      <c r="AM381" s="106"/>
      <c r="AN381" s="106"/>
      <c r="AO381" s="106"/>
      <c r="AP381" s="106"/>
      <c r="AQ381" s="106"/>
      <c r="AR381" s="106"/>
      <c r="AS381" s="106"/>
      <c r="AT381" s="106"/>
      <c r="AU381" s="106"/>
      <c r="AV381" s="106"/>
      <c r="AW381" s="106"/>
    </row>
    <row r="382" spans="29:49" ht="15.75" customHeight="1" thickBot="1" x14ac:dyDescent="0.4">
      <c r="AC382" s="106"/>
      <c r="AD382" s="106"/>
      <c r="AE382" s="106"/>
      <c r="AF382" s="106"/>
      <c r="AG382" s="106"/>
      <c r="AH382" s="106"/>
      <c r="AI382" s="106"/>
      <c r="AJ382" s="106"/>
      <c r="AK382" s="106"/>
      <c r="AL382" s="106"/>
      <c r="AM382" s="106"/>
      <c r="AN382" s="106"/>
      <c r="AO382" s="106"/>
      <c r="AP382" s="106"/>
      <c r="AQ382" s="106"/>
      <c r="AR382" s="106"/>
      <c r="AS382" s="106"/>
      <c r="AT382" s="106"/>
      <c r="AU382" s="106"/>
      <c r="AV382" s="106"/>
      <c r="AW382" s="106"/>
    </row>
    <row r="383" spans="29:49" ht="15.75" customHeight="1" thickBot="1" x14ac:dyDescent="0.4">
      <c r="AC383" s="106"/>
      <c r="AD383" s="106"/>
      <c r="AE383" s="106"/>
      <c r="AF383" s="106"/>
      <c r="AG383" s="106"/>
      <c r="AH383" s="106"/>
      <c r="AI383" s="106"/>
      <c r="AJ383" s="106"/>
      <c r="AK383" s="106"/>
      <c r="AL383" s="106"/>
      <c r="AM383" s="106"/>
      <c r="AN383" s="106"/>
      <c r="AO383" s="106"/>
      <c r="AP383" s="106"/>
      <c r="AQ383" s="106"/>
      <c r="AR383" s="106"/>
      <c r="AS383" s="106"/>
      <c r="AT383" s="106"/>
      <c r="AU383" s="106"/>
      <c r="AV383" s="106"/>
      <c r="AW383" s="106"/>
    </row>
    <row r="384" spans="29:49" ht="15.75" customHeight="1" thickBot="1" x14ac:dyDescent="0.4">
      <c r="AC384" s="106"/>
      <c r="AD384" s="106"/>
      <c r="AE384" s="106"/>
      <c r="AF384" s="106"/>
      <c r="AG384" s="106"/>
      <c r="AH384" s="106"/>
      <c r="AI384" s="106"/>
      <c r="AJ384" s="106"/>
      <c r="AK384" s="106"/>
      <c r="AL384" s="106"/>
      <c r="AM384" s="106"/>
      <c r="AN384" s="106"/>
      <c r="AO384" s="106"/>
      <c r="AP384" s="106"/>
      <c r="AQ384" s="106"/>
      <c r="AR384" s="106"/>
      <c r="AS384" s="106"/>
      <c r="AT384" s="106"/>
      <c r="AU384" s="106"/>
      <c r="AV384" s="106"/>
      <c r="AW384" s="106"/>
    </row>
    <row r="385" spans="29:49" ht="15.75" customHeight="1" thickBot="1" x14ac:dyDescent="0.4">
      <c r="AC385" s="106"/>
      <c r="AD385" s="106"/>
      <c r="AE385" s="106"/>
      <c r="AF385" s="106"/>
      <c r="AG385" s="106"/>
      <c r="AH385" s="106"/>
      <c r="AI385" s="106"/>
      <c r="AJ385" s="106"/>
      <c r="AK385" s="106"/>
      <c r="AL385" s="106"/>
      <c r="AM385" s="106"/>
      <c r="AN385" s="106"/>
      <c r="AO385" s="106"/>
      <c r="AP385" s="106"/>
      <c r="AQ385" s="106"/>
      <c r="AR385" s="106"/>
      <c r="AS385" s="106"/>
      <c r="AT385" s="106"/>
      <c r="AU385" s="106"/>
      <c r="AV385" s="106"/>
      <c r="AW385" s="106"/>
    </row>
    <row r="386" spans="29:49" ht="15.75" customHeight="1" thickBot="1" x14ac:dyDescent="0.4">
      <c r="AC386" s="106"/>
      <c r="AD386" s="106"/>
      <c r="AE386" s="106"/>
      <c r="AF386" s="106"/>
      <c r="AG386" s="106"/>
      <c r="AH386" s="106"/>
      <c r="AI386" s="106"/>
      <c r="AJ386" s="106"/>
      <c r="AK386" s="106"/>
      <c r="AL386" s="106"/>
      <c r="AM386" s="106"/>
      <c r="AN386" s="106"/>
      <c r="AO386" s="106"/>
      <c r="AP386" s="106"/>
      <c r="AQ386" s="106"/>
      <c r="AR386" s="106"/>
      <c r="AS386" s="106"/>
      <c r="AT386" s="106"/>
      <c r="AU386" s="106"/>
      <c r="AV386" s="106"/>
      <c r="AW386" s="106"/>
    </row>
    <row r="387" spans="29:49" ht="15.75" customHeight="1" thickBot="1" x14ac:dyDescent="0.4">
      <c r="AC387" s="106"/>
      <c r="AD387" s="106"/>
      <c r="AE387" s="106"/>
      <c r="AF387" s="106"/>
      <c r="AG387" s="106"/>
      <c r="AH387" s="106"/>
      <c r="AI387" s="106"/>
      <c r="AJ387" s="106"/>
      <c r="AK387" s="106"/>
      <c r="AL387" s="106"/>
      <c r="AM387" s="106"/>
      <c r="AN387" s="106"/>
      <c r="AO387" s="106"/>
      <c r="AP387" s="106"/>
      <c r="AQ387" s="106"/>
      <c r="AR387" s="106"/>
      <c r="AS387" s="106"/>
      <c r="AT387" s="106"/>
      <c r="AU387" s="106"/>
      <c r="AV387" s="106"/>
      <c r="AW387" s="106"/>
    </row>
    <row r="388" spans="29:49" ht="15.75" customHeight="1" thickBot="1" x14ac:dyDescent="0.4">
      <c r="AC388" s="106"/>
      <c r="AD388" s="106"/>
      <c r="AE388" s="106"/>
      <c r="AF388" s="106"/>
      <c r="AG388" s="106"/>
      <c r="AH388" s="106"/>
      <c r="AI388" s="106"/>
      <c r="AJ388" s="106"/>
      <c r="AK388" s="106"/>
      <c r="AL388" s="106"/>
      <c r="AM388" s="106"/>
      <c r="AN388" s="106"/>
      <c r="AO388" s="106"/>
      <c r="AP388" s="106"/>
      <c r="AQ388" s="106"/>
      <c r="AR388" s="106"/>
      <c r="AS388" s="106"/>
      <c r="AT388" s="106"/>
      <c r="AU388" s="106"/>
      <c r="AV388" s="106"/>
      <c r="AW388" s="106"/>
    </row>
    <row r="389" spans="29:49" ht="15.75" customHeight="1" thickBot="1" x14ac:dyDescent="0.4">
      <c r="AC389" s="106"/>
      <c r="AD389" s="106"/>
      <c r="AE389" s="106"/>
      <c r="AF389" s="106"/>
      <c r="AG389" s="106"/>
      <c r="AH389" s="106"/>
      <c r="AI389" s="106"/>
      <c r="AJ389" s="106"/>
      <c r="AK389" s="106"/>
      <c r="AL389" s="106"/>
      <c r="AM389" s="106"/>
      <c r="AN389" s="106"/>
      <c r="AO389" s="106"/>
      <c r="AP389" s="106"/>
      <c r="AQ389" s="106"/>
      <c r="AR389" s="106"/>
      <c r="AS389" s="106"/>
      <c r="AT389" s="106"/>
      <c r="AU389" s="106"/>
      <c r="AV389" s="106"/>
      <c r="AW389" s="106"/>
    </row>
    <row r="390" spans="29:49" ht="15.75" customHeight="1" thickBot="1" x14ac:dyDescent="0.4">
      <c r="AC390" s="106"/>
      <c r="AD390" s="106"/>
      <c r="AE390" s="106"/>
      <c r="AF390" s="106"/>
      <c r="AG390" s="106"/>
      <c r="AH390" s="106"/>
      <c r="AI390" s="106"/>
      <c r="AJ390" s="106"/>
      <c r="AK390" s="106"/>
      <c r="AL390" s="106"/>
      <c r="AM390" s="106"/>
      <c r="AN390" s="106"/>
      <c r="AO390" s="106"/>
      <c r="AP390" s="106"/>
      <c r="AQ390" s="106"/>
      <c r="AR390" s="106"/>
      <c r="AS390" s="106"/>
      <c r="AT390" s="106"/>
      <c r="AU390" s="106"/>
      <c r="AV390" s="106"/>
      <c r="AW390" s="106"/>
    </row>
    <row r="391" spans="29:49" ht="15.75" customHeight="1" thickBot="1" x14ac:dyDescent="0.4">
      <c r="AC391" s="106"/>
      <c r="AD391" s="106"/>
      <c r="AE391" s="106"/>
      <c r="AF391" s="106"/>
      <c r="AG391" s="106"/>
      <c r="AH391" s="106"/>
      <c r="AI391" s="106"/>
      <c r="AJ391" s="106"/>
      <c r="AK391" s="106"/>
      <c r="AL391" s="106"/>
      <c r="AM391" s="106"/>
      <c r="AN391" s="106"/>
      <c r="AO391" s="106"/>
      <c r="AP391" s="106"/>
      <c r="AQ391" s="106"/>
      <c r="AR391" s="106"/>
      <c r="AS391" s="106"/>
      <c r="AT391" s="106"/>
      <c r="AU391" s="106"/>
      <c r="AV391" s="106"/>
      <c r="AW391" s="106"/>
    </row>
    <row r="392" spans="29:49" ht="15.75" customHeight="1" thickBot="1" x14ac:dyDescent="0.4">
      <c r="AC392" s="106"/>
      <c r="AD392" s="106"/>
      <c r="AE392" s="106"/>
      <c r="AF392" s="106"/>
      <c r="AG392" s="106"/>
      <c r="AH392" s="106"/>
      <c r="AI392" s="106"/>
      <c r="AJ392" s="106"/>
      <c r="AK392" s="106"/>
      <c r="AL392" s="106"/>
      <c r="AM392" s="106"/>
      <c r="AN392" s="106"/>
      <c r="AO392" s="106"/>
      <c r="AP392" s="106"/>
      <c r="AQ392" s="106"/>
      <c r="AR392" s="106"/>
      <c r="AS392" s="106"/>
      <c r="AT392" s="106"/>
      <c r="AU392" s="106"/>
      <c r="AV392" s="106"/>
      <c r="AW392" s="106"/>
    </row>
    <row r="393" spans="29:49" ht="15.75" customHeight="1" thickBot="1" x14ac:dyDescent="0.4">
      <c r="AC393" s="106"/>
      <c r="AD393" s="106"/>
      <c r="AE393" s="106"/>
      <c r="AF393" s="106"/>
      <c r="AG393" s="106"/>
      <c r="AH393" s="106"/>
      <c r="AI393" s="106"/>
      <c r="AJ393" s="106"/>
      <c r="AK393" s="106"/>
      <c r="AL393" s="106"/>
      <c r="AM393" s="106"/>
      <c r="AN393" s="106"/>
      <c r="AO393" s="106"/>
      <c r="AP393" s="106"/>
      <c r="AQ393" s="106"/>
      <c r="AR393" s="106"/>
      <c r="AS393" s="106"/>
      <c r="AT393" s="106"/>
      <c r="AU393" s="106"/>
      <c r="AV393" s="106"/>
      <c r="AW393" s="106"/>
    </row>
    <row r="394" spans="29:49" ht="15.75" customHeight="1" thickBot="1" x14ac:dyDescent="0.4">
      <c r="AC394" s="106"/>
      <c r="AD394" s="106"/>
      <c r="AE394" s="106"/>
      <c r="AF394" s="106"/>
      <c r="AG394" s="106"/>
      <c r="AH394" s="106"/>
      <c r="AI394" s="106"/>
      <c r="AJ394" s="106"/>
      <c r="AK394" s="106"/>
      <c r="AL394" s="106"/>
      <c r="AM394" s="106"/>
      <c r="AN394" s="106"/>
      <c r="AO394" s="106"/>
      <c r="AP394" s="106"/>
      <c r="AQ394" s="106"/>
      <c r="AR394" s="106"/>
      <c r="AS394" s="106"/>
      <c r="AT394" s="106"/>
      <c r="AU394" s="106"/>
      <c r="AV394" s="106"/>
      <c r="AW394" s="106"/>
    </row>
    <row r="395" spans="29:49" ht="15.75" customHeight="1" thickBot="1" x14ac:dyDescent="0.4">
      <c r="AC395" s="106"/>
      <c r="AD395" s="106"/>
      <c r="AE395" s="106"/>
      <c r="AF395" s="106"/>
      <c r="AG395" s="106"/>
      <c r="AH395" s="106"/>
      <c r="AI395" s="106"/>
      <c r="AJ395" s="106"/>
      <c r="AK395" s="106"/>
      <c r="AL395" s="106"/>
      <c r="AM395" s="106"/>
      <c r="AN395" s="106"/>
      <c r="AO395" s="106"/>
      <c r="AP395" s="106"/>
      <c r="AQ395" s="106"/>
      <c r="AR395" s="106"/>
      <c r="AS395" s="106"/>
      <c r="AT395" s="106"/>
      <c r="AU395" s="106"/>
      <c r="AV395" s="106"/>
      <c r="AW395" s="106"/>
    </row>
    <row r="396" spans="29:49" ht="15.75" customHeight="1" thickBot="1" x14ac:dyDescent="0.4">
      <c r="AC396" s="106"/>
      <c r="AD396" s="106"/>
      <c r="AE396" s="106"/>
      <c r="AF396" s="106"/>
      <c r="AG396" s="106"/>
      <c r="AH396" s="106"/>
      <c r="AI396" s="106"/>
      <c r="AJ396" s="106"/>
      <c r="AK396" s="106"/>
      <c r="AL396" s="106"/>
      <c r="AM396" s="106"/>
      <c r="AN396" s="106"/>
      <c r="AO396" s="106"/>
      <c r="AP396" s="106"/>
      <c r="AQ396" s="106"/>
      <c r="AR396" s="106"/>
      <c r="AS396" s="106"/>
      <c r="AT396" s="106"/>
      <c r="AU396" s="106"/>
      <c r="AV396" s="106"/>
      <c r="AW396" s="106"/>
    </row>
    <row r="397" spans="29:49" ht="15.75" customHeight="1" thickBot="1" x14ac:dyDescent="0.4">
      <c r="AC397" s="106"/>
      <c r="AD397" s="106"/>
      <c r="AE397" s="106"/>
      <c r="AF397" s="106"/>
      <c r="AG397" s="106"/>
      <c r="AH397" s="106"/>
      <c r="AI397" s="106"/>
      <c r="AJ397" s="106"/>
      <c r="AK397" s="106"/>
      <c r="AL397" s="106"/>
      <c r="AM397" s="106"/>
      <c r="AN397" s="106"/>
      <c r="AO397" s="106"/>
      <c r="AP397" s="106"/>
      <c r="AQ397" s="106"/>
      <c r="AR397" s="106"/>
      <c r="AS397" s="106"/>
      <c r="AT397" s="106"/>
      <c r="AU397" s="106"/>
      <c r="AV397" s="106"/>
      <c r="AW397" s="106"/>
    </row>
    <row r="398" spans="29:49" ht="15.75" customHeight="1" thickBot="1" x14ac:dyDescent="0.4">
      <c r="AC398" s="106"/>
      <c r="AD398" s="106"/>
      <c r="AE398" s="106"/>
      <c r="AF398" s="106"/>
      <c r="AG398" s="106"/>
      <c r="AH398" s="106"/>
      <c r="AI398" s="106"/>
      <c r="AJ398" s="106"/>
      <c r="AK398" s="106"/>
      <c r="AL398" s="106"/>
      <c r="AM398" s="106"/>
      <c r="AN398" s="106"/>
      <c r="AO398" s="106"/>
      <c r="AP398" s="106"/>
      <c r="AQ398" s="106"/>
      <c r="AR398" s="106"/>
      <c r="AS398" s="106"/>
      <c r="AT398" s="106"/>
      <c r="AU398" s="106"/>
      <c r="AV398" s="106"/>
      <c r="AW398" s="106"/>
    </row>
    <row r="399" spans="29:49" ht="15.75" customHeight="1" thickBot="1" x14ac:dyDescent="0.4">
      <c r="AC399" s="106"/>
      <c r="AD399" s="106"/>
      <c r="AE399" s="106"/>
      <c r="AF399" s="106"/>
      <c r="AG399" s="106"/>
      <c r="AH399" s="106"/>
      <c r="AI399" s="106"/>
      <c r="AJ399" s="106"/>
      <c r="AK399" s="106"/>
      <c r="AL399" s="106"/>
      <c r="AM399" s="106"/>
      <c r="AN399" s="106"/>
      <c r="AO399" s="106"/>
      <c r="AP399" s="106"/>
      <c r="AQ399" s="106"/>
      <c r="AR399" s="106"/>
      <c r="AS399" s="106"/>
      <c r="AT399" s="106"/>
      <c r="AU399" s="106"/>
      <c r="AV399" s="106"/>
      <c r="AW399" s="106"/>
    </row>
    <row r="400" spans="29:49" ht="15.75" customHeight="1" thickBot="1" x14ac:dyDescent="0.4">
      <c r="AC400" s="106"/>
      <c r="AD400" s="106"/>
      <c r="AE400" s="106"/>
      <c r="AF400" s="106"/>
      <c r="AG400" s="106"/>
      <c r="AH400" s="106"/>
      <c r="AI400" s="106"/>
      <c r="AJ400" s="106"/>
      <c r="AK400" s="106"/>
      <c r="AL400" s="106"/>
      <c r="AM400" s="106"/>
      <c r="AN400" s="106"/>
      <c r="AO400" s="106"/>
      <c r="AP400" s="106"/>
      <c r="AQ400" s="106"/>
      <c r="AR400" s="106"/>
      <c r="AS400" s="106"/>
      <c r="AT400" s="106"/>
      <c r="AU400" s="106"/>
      <c r="AV400" s="106"/>
      <c r="AW400" s="106"/>
    </row>
    <row r="401" spans="29:49" ht="15.75" customHeight="1" thickBot="1" x14ac:dyDescent="0.4">
      <c r="AC401" s="106"/>
      <c r="AD401" s="106"/>
      <c r="AE401" s="106"/>
      <c r="AF401" s="106"/>
      <c r="AG401" s="106"/>
      <c r="AH401" s="106"/>
      <c r="AI401" s="106"/>
      <c r="AJ401" s="106"/>
      <c r="AK401" s="106"/>
      <c r="AL401" s="106"/>
      <c r="AM401" s="106"/>
      <c r="AN401" s="106"/>
      <c r="AO401" s="106"/>
      <c r="AP401" s="106"/>
      <c r="AQ401" s="106"/>
      <c r="AR401" s="106"/>
      <c r="AS401" s="106"/>
      <c r="AT401" s="106"/>
      <c r="AU401" s="106"/>
      <c r="AV401" s="106"/>
      <c r="AW401" s="106"/>
    </row>
    <row r="402" spans="29:49" ht="15.75" customHeight="1" thickBot="1" x14ac:dyDescent="0.4">
      <c r="AC402" s="106"/>
      <c r="AD402" s="106"/>
      <c r="AE402" s="106"/>
      <c r="AF402" s="106"/>
      <c r="AG402" s="106"/>
      <c r="AH402" s="106"/>
      <c r="AI402" s="106"/>
      <c r="AJ402" s="106"/>
      <c r="AK402" s="106"/>
      <c r="AL402" s="106"/>
      <c r="AM402" s="106"/>
      <c r="AN402" s="106"/>
      <c r="AO402" s="106"/>
      <c r="AP402" s="106"/>
      <c r="AQ402" s="106"/>
      <c r="AR402" s="106"/>
      <c r="AS402" s="106"/>
      <c r="AT402" s="106"/>
      <c r="AU402" s="106"/>
      <c r="AV402" s="106"/>
      <c r="AW402" s="106"/>
    </row>
    <row r="403" spans="29:49" ht="15.75" customHeight="1" thickBot="1" x14ac:dyDescent="0.4">
      <c r="AC403" s="106"/>
      <c r="AD403" s="106"/>
      <c r="AE403" s="106"/>
      <c r="AF403" s="106"/>
      <c r="AG403" s="106"/>
      <c r="AH403" s="106"/>
      <c r="AI403" s="106"/>
      <c r="AJ403" s="106"/>
      <c r="AK403" s="106"/>
      <c r="AL403" s="106"/>
      <c r="AM403" s="106"/>
      <c r="AN403" s="106"/>
      <c r="AO403" s="106"/>
      <c r="AP403" s="106"/>
      <c r="AQ403" s="106"/>
      <c r="AR403" s="106"/>
      <c r="AS403" s="106"/>
      <c r="AT403" s="106"/>
      <c r="AU403" s="106"/>
      <c r="AV403" s="106"/>
      <c r="AW403" s="106"/>
    </row>
    <row r="404" spans="29:49" ht="15.75" customHeight="1" thickBot="1" x14ac:dyDescent="0.4">
      <c r="AC404" s="106"/>
      <c r="AD404" s="106"/>
      <c r="AE404" s="106"/>
      <c r="AF404" s="106"/>
      <c r="AG404" s="106"/>
      <c r="AH404" s="106"/>
      <c r="AI404" s="106"/>
      <c r="AJ404" s="106"/>
      <c r="AK404" s="106"/>
      <c r="AL404" s="106"/>
      <c r="AM404" s="106"/>
      <c r="AN404" s="106"/>
      <c r="AO404" s="106"/>
      <c r="AP404" s="106"/>
      <c r="AQ404" s="106"/>
      <c r="AR404" s="106"/>
      <c r="AS404" s="106"/>
      <c r="AT404" s="106"/>
      <c r="AU404" s="106"/>
      <c r="AV404" s="106"/>
      <c r="AW404" s="106"/>
    </row>
    <row r="405" spans="29:49" ht="15.75" customHeight="1" thickBot="1" x14ac:dyDescent="0.4">
      <c r="AC405" s="106"/>
      <c r="AD405" s="106"/>
      <c r="AE405" s="106"/>
      <c r="AF405" s="106"/>
      <c r="AG405" s="106"/>
      <c r="AH405" s="106"/>
      <c r="AI405" s="106"/>
      <c r="AJ405" s="106"/>
      <c r="AK405" s="106"/>
      <c r="AL405" s="106"/>
      <c r="AM405" s="106"/>
      <c r="AN405" s="106"/>
      <c r="AO405" s="106"/>
      <c r="AP405" s="106"/>
      <c r="AQ405" s="106"/>
      <c r="AR405" s="106"/>
      <c r="AS405" s="106"/>
      <c r="AT405" s="106"/>
      <c r="AU405" s="106"/>
      <c r="AV405" s="106"/>
      <c r="AW405" s="106"/>
    </row>
    <row r="406" spans="29:49" ht="15.75" customHeight="1" thickBot="1" x14ac:dyDescent="0.4">
      <c r="AC406" s="106"/>
      <c r="AD406" s="106"/>
      <c r="AE406" s="106"/>
      <c r="AF406" s="106"/>
      <c r="AG406" s="106"/>
      <c r="AH406" s="106"/>
      <c r="AI406" s="106"/>
      <c r="AJ406" s="106"/>
      <c r="AK406" s="106"/>
      <c r="AL406" s="106"/>
      <c r="AM406" s="106"/>
      <c r="AN406" s="106"/>
      <c r="AO406" s="106"/>
      <c r="AP406" s="106"/>
      <c r="AQ406" s="106"/>
      <c r="AR406" s="106"/>
      <c r="AS406" s="106"/>
      <c r="AT406" s="106"/>
      <c r="AU406" s="106"/>
      <c r="AV406" s="106"/>
      <c r="AW406" s="106"/>
    </row>
    <row r="407" spans="29:49" ht="15.75" customHeight="1" thickBot="1" x14ac:dyDescent="0.4">
      <c r="AC407" s="106"/>
      <c r="AD407" s="106"/>
      <c r="AE407" s="106"/>
      <c r="AF407" s="106"/>
      <c r="AG407" s="106"/>
      <c r="AH407" s="106"/>
      <c r="AI407" s="106"/>
      <c r="AJ407" s="106"/>
      <c r="AK407" s="106"/>
      <c r="AL407" s="106"/>
      <c r="AM407" s="106"/>
      <c r="AN407" s="106"/>
      <c r="AO407" s="106"/>
      <c r="AP407" s="106"/>
      <c r="AQ407" s="106"/>
      <c r="AR407" s="106"/>
      <c r="AS407" s="106"/>
      <c r="AT407" s="106"/>
      <c r="AU407" s="106"/>
      <c r="AV407" s="106"/>
      <c r="AW407" s="106"/>
    </row>
    <row r="408" spans="29:49" ht="15.75" customHeight="1" thickBot="1" x14ac:dyDescent="0.4">
      <c r="AC408" s="106"/>
      <c r="AD408" s="106"/>
      <c r="AE408" s="106"/>
      <c r="AF408" s="106"/>
      <c r="AG408" s="106"/>
      <c r="AH408" s="106"/>
      <c r="AI408" s="106"/>
      <c r="AJ408" s="106"/>
      <c r="AK408" s="106"/>
      <c r="AL408" s="106"/>
      <c r="AM408" s="106"/>
      <c r="AN408" s="106"/>
      <c r="AO408" s="106"/>
      <c r="AP408" s="106"/>
      <c r="AQ408" s="106"/>
      <c r="AR408" s="106"/>
      <c r="AS408" s="106"/>
      <c r="AT408" s="106"/>
      <c r="AU408" s="106"/>
      <c r="AV408" s="106"/>
      <c r="AW408" s="106"/>
    </row>
    <row r="409" spans="29:49" ht="15.75" customHeight="1" thickBot="1" x14ac:dyDescent="0.4">
      <c r="AC409" s="106"/>
      <c r="AD409" s="106"/>
      <c r="AE409" s="106"/>
      <c r="AF409" s="106"/>
      <c r="AG409" s="106"/>
      <c r="AH409" s="106"/>
      <c r="AI409" s="106"/>
      <c r="AJ409" s="106"/>
      <c r="AK409" s="106"/>
      <c r="AL409" s="106"/>
      <c r="AM409" s="106"/>
      <c r="AN409" s="106"/>
      <c r="AO409" s="106"/>
      <c r="AP409" s="106"/>
      <c r="AQ409" s="106"/>
      <c r="AR409" s="106"/>
      <c r="AS409" s="106"/>
      <c r="AT409" s="106"/>
      <c r="AU409" s="106"/>
      <c r="AV409" s="106"/>
      <c r="AW409" s="106"/>
    </row>
    <row r="410" spans="29:49" ht="15.75" customHeight="1" thickBot="1" x14ac:dyDescent="0.4">
      <c r="AC410" s="106"/>
      <c r="AD410" s="106"/>
      <c r="AE410" s="106"/>
      <c r="AF410" s="106"/>
      <c r="AG410" s="106"/>
      <c r="AH410" s="106"/>
      <c r="AI410" s="106"/>
      <c r="AJ410" s="106"/>
      <c r="AK410" s="106"/>
      <c r="AL410" s="106"/>
      <c r="AM410" s="106"/>
      <c r="AN410" s="106"/>
      <c r="AO410" s="106"/>
      <c r="AP410" s="106"/>
      <c r="AQ410" s="106"/>
      <c r="AR410" s="106"/>
      <c r="AS410" s="106"/>
      <c r="AT410" s="106"/>
      <c r="AU410" s="106"/>
      <c r="AV410" s="106"/>
      <c r="AW410" s="106"/>
    </row>
    <row r="411" spans="29:49" ht="15.75" customHeight="1" thickBot="1" x14ac:dyDescent="0.4">
      <c r="AC411" s="106"/>
      <c r="AD411" s="106"/>
      <c r="AE411" s="106"/>
      <c r="AF411" s="106"/>
      <c r="AG411" s="106"/>
      <c r="AH411" s="106"/>
      <c r="AI411" s="106"/>
      <c r="AJ411" s="106"/>
      <c r="AK411" s="106"/>
      <c r="AL411" s="106"/>
      <c r="AM411" s="106"/>
      <c r="AN411" s="106"/>
      <c r="AO411" s="106"/>
      <c r="AP411" s="106"/>
      <c r="AQ411" s="106"/>
      <c r="AR411" s="106"/>
      <c r="AS411" s="106"/>
      <c r="AT411" s="106"/>
      <c r="AU411" s="106"/>
      <c r="AV411" s="106"/>
      <c r="AW411" s="106"/>
    </row>
    <row r="412" spans="29:49" ht="15.75" customHeight="1" thickBot="1" x14ac:dyDescent="0.4">
      <c r="AC412" s="106"/>
      <c r="AD412" s="106"/>
      <c r="AE412" s="106"/>
      <c r="AF412" s="106"/>
      <c r="AG412" s="106"/>
      <c r="AH412" s="106"/>
      <c r="AI412" s="106"/>
      <c r="AJ412" s="106"/>
      <c r="AK412" s="106"/>
      <c r="AL412" s="106"/>
      <c r="AM412" s="106"/>
      <c r="AN412" s="106"/>
      <c r="AO412" s="106"/>
      <c r="AP412" s="106"/>
      <c r="AQ412" s="106"/>
      <c r="AR412" s="106"/>
      <c r="AS412" s="106"/>
      <c r="AT412" s="106"/>
      <c r="AU412" s="106"/>
      <c r="AV412" s="106"/>
      <c r="AW412" s="106"/>
    </row>
    <row r="413" spans="29:49" ht="15.75" customHeight="1" thickBot="1" x14ac:dyDescent="0.4">
      <c r="AC413" s="106"/>
      <c r="AD413" s="106"/>
      <c r="AE413" s="106"/>
      <c r="AF413" s="106"/>
      <c r="AG413" s="106"/>
      <c r="AH413" s="106"/>
      <c r="AI413" s="106"/>
      <c r="AJ413" s="106"/>
      <c r="AK413" s="106"/>
      <c r="AL413" s="106"/>
      <c r="AM413" s="106"/>
      <c r="AN413" s="106"/>
      <c r="AO413" s="106"/>
      <c r="AP413" s="106"/>
      <c r="AQ413" s="106"/>
      <c r="AR413" s="106"/>
      <c r="AS413" s="106"/>
      <c r="AT413" s="106"/>
      <c r="AU413" s="106"/>
      <c r="AV413" s="106"/>
      <c r="AW413" s="106"/>
    </row>
    <row r="414" spans="29:49" ht="15.75" customHeight="1" thickBot="1" x14ac:dyDescent="0.4">
      <c r="AC414" s="106"/>
      <c r="AD414" s="106"/>
      <c r="AE414" s="106"/>
      <c r="AF414" s="106"/>
      <c r="AG414" s="106"/>
      <c r="AH414" s="106"/>
      <c r="AI414" s="106"/>
      <c r="AJ414" s="106"/>
      <c r="AK414" s="106"/>
      <c r="AL414" s="106"/>
      <c r="AM414" s="106"/>
      <c r="AN414" s="106"/>
      <c r="AO414" s="106"/>
      <c r="AP414" s="106"/>
      <c r="AQ414" s="106"/>
      <c r="AR414" s="106"/>
      <c r="AS414" s="106"/>
      <c r="AT414" s="106"/>
      <c r="AU414" s="106"/>
      <c r="AV414" s="106"/>
      <c r="AW414" s="106"/>
    </row>
    <row r="415" spans="29:49" ht="15.75" customHeight="1" thickBot="1" x14ac:dyDescent="0.4">
      <c r="AC415" s="106"/>
      <c r="AD415" s="106"/>
      <c r="AE415" s="106"/>
      <c r="AF415" s="106"/>
      <c r="AG415" s="106"/>
      <c r="AH415" s="106"/>
      <c r="AI415" s="106"/>
      <c r="AJ415" s="106"/>
      <c r="AK415" s="106"/>
      <c r="AL415" s="106"/>
      <c r="AM415" s="106"/>
      <c r="AN415" s="106"/>
      <c r="AO415" s="106"/>
      <c r="AP415" s="106"/>
      <c r="AQ415" s="106"/>
      <c r="AR415" s="106"/>
      <c r="AS415" s="106"/>
      <c r="AT415" s="106"/>
      <c r="AU415" s="106"/>
      <c r="AV415" s="106"/>
      <c r="AW415" s="106"/>
    </row>
    <row r="416" spans="29:49" ht="15.75" customHeight="1" thickBot="1" x14ac:dyDescent="0.4">
      <c r="AC416" s="106"/>
      <c r="AD416" s="106"/>
      <c r="AE416" s="106"/>
      <c r="AF416" s="106"/>
      <c r="AG416" s="106"/>
      <c r="AH416" s="106"/>
      <c r="AI416" s="106"/>
      <c r="AJ416" s="106"/>
      <c r="AK416" s="106"/>
      <c r="AL416" s="106"/>
      <c r="AM416" s="106"/>
      <c r="AN416" s="106"/>
      <c r="AO416" s="106"/>
      <c r="AP416" s="106"/>
      <c r="AQ416" s="106"/>
      <c r="AR416" s="106"/>
      <c r="AS416" s="106"/>
      <c r="AT416" s="106"/>
      <c r="AU416" s="106"/>
      <c r="AV416" s="106"/>
      <c r="AW416" s="106"/>
    </row>
    <row r="417" spans="29:49" ht="15.75" customHeight="1" thickBot="1" x14ac:dyDescent="0.4">
      <c r="AC417" s="106"/>
      <c r="AD417" s="106"/>
      <c r="AE417" s="106"/>
      <c r="AF417" s="106"/>
      <c r="AG417" s="106"/>
      <c r="AH417" s="106"/>
      <c r="AI417" s="106"/>
      <c r="AJ417" s="106"/>
      <c r="AK417" s="106"/>
      <c r="AL417" s="106"/>
      <c r="AM417" s="106"/>
      <c r="AN417" s="106"/>
      <c r="AO417" s="106"/>
      <c r="AP417" s="106"/>
      <c r="AQ417" s="106"/>
      <c r="AR417" s="106"/>
      <c r="AS417" s="106"/>
      <c r="AT417" s="106"/>
      <c r="AU417" s="106"/>
      <c r="AV417" s="106"/>
      <c r="AW417" s="106"/>
    </row>
    <row r="418" spans="29:49" ht="15.75" customHeight="1" thickBot="1" x14ac:dyDescent="0.4">
      <c r="AC418" s="106"/>
      <c r="AD418" s="106"/>
      <c r="AE418" s="106"/>
      <c r="AF418" s="106"/>
      <c r="AG418" s="106"/>
      <c r="AH418" s="106"/>
      <c r="AI418" s="106"/>
      <c r="AJ418" s="106"/>
      <c r="AK418" s="106"/>
      <c r="AL418" s="106"/>
      <c r="AM418" s="106"/>
      <c r="AN418" s="106"/>
      <c r="AO418" s="106"/>
      <c r="AP418" s="106"/>
      <c r="AQ418" s="106"/>
      <c r="AR418" s="106"/>
      <c r="AS418" s="106"/>
      <c r="AT418" s="106"/>
      <c r="AU418" s="106"/>
      <c r="AV418" s="106"/>
      <c r="AW418" s="106"/>
    </row>
    <row r="419" spans="29:49" ht="15.75" customHeight="1" thickBot="1" x14ac:dyDescent="0.4">
      <c r="AC419" s="106"/>
      <c r="AD419" s="106"/>
      <c r="AE419" s="106"/>
      <c r="AF419" s="106"/>
      <c r="AG419" s="106"/>
      <c r="AH419" s="106"/>
      <c r="AI419" s="106"/>
      <c r="AJ419" s="106"/>
      <c r="AK419" s="106"/>
      <c r="AL419" s="106"/>
      <c r="AM419" s="106"/>
      <c r="AN419" s="106"/>
      <c r="AO419" s="106"/>
      <c r="AP419" s="106"/>
      <c r="AQ419" s="106"/>
      <c r="AR419" s="106"/>
      <c r="AS419" s="106"/>
      <c r="AT419" s="106"/>
      <c r="AU419" s="106"/>
      <c r="AV419" s="106"/>
      <c r="AW419" s="106"/>
    </row>
    <row r="420" spans="29:49" ht="15.75" customHeight="1" thickBot="1" x14ac:dyDescent="0.4">
      <c r="AC420" s="106"/>
      <c r="AD420" s="106"/>
      <c r="AE420" s="106"/>
      <c r="AF420" s="106"/>
      <c r="AG420" s="106"/>
      <c r="AH420" s="106"/>
      <c r="AI420" s="106"/>
      <c r="AJ420" s="106"/>
      <c r="AK420" s="106"/>
      <c r="AL420" s="106"/>
      <c r="AM420" s="106"/>
      <c r="AN420" s="106"/>
      <c r="AO420" s="106"/>
      <c r="AP420" s="106"/>
      <c r="AQ420" s="106"/>
      <c r="AR420" s="106"/>
      <c r="AS420" s="106"/>
      <c r="AT420" s="106"/>
      <c r="AU420" s="106"/>
      <c r="AV420" s="106"/>
      <c r="AW420" s="106"/>
    </row>
    <row r="421" spans="29:49" ht="15.75" customHeight="1" thickBot="1" x14ac:dyDescent="0.4">
      <c r="AC421" s="106"/>
      <c r="AD421" s="106"/>
      <c r="AE421" s="106"/>
      <c r="AF421" s="106"/>
      <c r="AG421" s="106"/>
      <c r="AH421" s="106"/>
      <c r="AI421" s="106"/>
      <c r="AJ421" s="106"/>
      <c r="AK421" s="106"/>
      <c r="AL421" s="106"/>
      <c r="AM421" s="106"/>
      <c r="AN421" s="106"/>
      <c r="AO421" s="106"/>
      <c r="AP421" s="106"/>
      <c r="AQ421" s="106"/>
      <c r="AR421" s="106"/>
      <c r="AS421" s="106"/>
      <c r="AT421" s="106"/>
      <c r="AU421" s="106"/>
      <c r="AV421" s="106"/>
      <c r="AW421" s="106"/>
    </row>
    <row r="422" spans="29:49" ht="15.75" customHeight="1" thickBot="1" x14ac:dyDescent="0.4">
      <c r="AC422" s="106"/>
      <c r="AD422" s="106"/>
      <c r="AE422" s="106"/>
      <c r="AF422" s="106"/>
      <c r="AG422" s="106"/>
      <c r="AH422" s="106"/>
      <c r="AI422" s="106"/>
      <c r="AJ422" s="106"/>
      <c r="AK422" s="106"/>
      <c r="AL422" s="106"/>
      <c r="AM422" s="106"/>
      <c r="AN422" s="106"/>
      <c r="AO422" s="106"/>
      <c r="AP422" s="106"/>
      <c r="AQ422" s="106"/>
      <c r="AR422" s="106"/>
      <c r="AS422" s="106"/>
      <c r="AT422" s="106"/>
      <c r="AU422" s="106"/>
      <c r="AV422" s="106"/>
      <c r="AW422" s="106"/>
    </row>
    <row r="423" spans="29:49" ht="15.75" customHeight="1" thickBot="1" x14ac:dyDescent="0.4">
      <c r="AC423" s="106"/>
      <c r="AD423" s="106"/>
      <c r="AE423" s="106"/>
      <c r="AF423" s="106"/>
      <c r="AG423" s="106"/>
      <c r="AH423" s="106"/>
      <c r="AI423" s="106"/>
      <c r="AJ423" s="106"/>
      <c r="AK423" s="106"/>
      <c r="AL423" s="106"/>
      <c r="AM423" s="106"/>
      <c r="AN423" s="106"/>
      <c r="AO423" s="106"/>
      <c r="AP423" s="106"/>
      <c r="AQ423" s="106"/>
      <c r="AR423" s="106"/>
      <c r="AS423" s="106"/>
      <c r="AT423" s="106"/>
      <c r="AU423" s="106"/>
      <c r="AV423" s="106"/>
      <c r="AW423" s="106"/>
    </row>
    <row r="424" spans="29:49" ht="15.75" customHeight="1" thickBot="1" x14ac:dyDescent="0.4">
      <c r="AC424" s="106"/>
      <c r="AD424" s="106"/>
      <c r="AE424" s="106"/>
      <c r="AF424" s="106"/>
      <c r="AG424" s="106"/>
      <c r="AH424" s="106"/>
      <c r="AI424" s="106"/>
      <c r="AJ424" s="106"/>
      <c r="AK424" s="106"/>
      <c r="AL424" s="106"/>
      <c r="AM424" s="106"/>
      <c r="AN424" s="106"/>
      <c r="AO424" s="106"/>
      <c r="AP424" s="106"/>
      <c r="AQ424" s="106"/>
      <c r="AR424" s="106"/>
      <c r="AS424" s="106"/>
      <c r="AT424" s="106"/>
      <c r="AU424" s="106"/>
      <c r="AV424" s="106"/>
      <c r="AW424" s="106"/>
    </row>
    <row r="425" spans="29:49" ht="15.75" customHeight="1" x14ac:dyDescent="0.35"/>
    <row r="426" spans="29:49" ht="15.75" customHeight="1" x14ac:dyDescent="0.35"/>
    <row r="427" spans="29:49" ht="15.75" customHeight="1" x14ac:dyDescent="0.35"/>
    <row r="428" spans="29:49" ht="15.75" customHeight="1" x14ac:dyDescent="0.35"/>
    <row r="429" spans="29:49" ht="15.75" customHeight="1" x14ac:dyDescent="0.35"/>
    <row r="430" spans="29:49" ht="15.75" customHeight="1" x14ac:dyDescent="0.35"/>
    <row r="431" spans="29:49" ht="15.75" customHeight="1" x14ac:dyDescent="0.35"/>
    <row r="432" spans="29:49"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password="DEFC" sheet="1" objects="1" scenarios="1"/>
  <autoFilter ref="A2:AC132">
    <filterColumn colId="1" showButton="0"/>
  </autoFilter>
  <mergeCells count="32">
    <mergeCell ref="B91:C91"/>
    <mergeCell ref="B34:C34"/>
    <mergeCell ref="B129:C129"/>
    <mergeCell ref="B100:C100"/>
    <mergeCell ref="B101:C101"/>
    <mergeCell ref="B107:C107"/>
    <mergeCell ref="B117:C117"/>
    <mergeCell ref="B124:C124"/>
    <mergeCell ref="B125:C125"/>
    <mergeCell ref="B96:C96"/>
    <mergeCell ref="B43:C43"/>
    <mergeCell ref="B45:C45"/>
    <mergeCell ref="B46:C46"/>
    <mergeCell ref="B54:C54"/>
    <mergeCell ref="B59:C59"/>
    <mergeCell ref="B64:C64"/>
    <mergeCell ref="B67:C67"/>
    <mergeCell ref="B68:C68"/>
    <mergeCell ref="B73:C73"/>
    <mergeCell ref="B86:C86"/>
    <mergeCell ref="B2:C2"/>
    <mergeCell ref="B40:C40"/>
    <mergeCell ref="B3:C3"/>
    <mergeCell ref="B4:C4"/>
    <mergeCell ref="B5:C5"/>
    <mergeCell ref="B11:C11"/>
    <mergeCell ref="B15:C15"/>
    <mergeCell ref="B16:C16"/>
    <mergeCell ref="B21:C21"/>
    <mergeCell ref="B24:C24"/>
    <mergeCell ref="B28:C28"/>
    <mergeCell ref="B33:C33"/>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zoomScale="32" zoomScaleNormal="32" workbookViewId="0">
      <pane xSplit="3" ySplit="2" topLeftCell="D15" activePane="bottomRight" state="frozen"/>
      <selection pane="topRight" activeCell="D1" sqref="D1"/>
      <selection pane="bottomLeft" activeCell="A3" sqref="A3"/>
      <selection pane="bottomRight" activeCell="K19" sqref="K19"/>
    </sheetView>
  </sheetViews>
  <sheetFormatPr baseColWidth="10" defaultColWidth="14.44140625" defaultRowHeight="15" customHeight="1" x14ac:dyDescent="0.35"/>
  <cols>
    <col min="1" max="1" width="1.33203125" style="109" customWidth="1"/>
    <col min="2" max="2" width="67.5546875" style="109" customWidth="1"/>
    <col min="3" max="3" width="66" style="109" customWidth="1"/>
    <col min="4" max="4" width="47.109375" style="109" customWidth="1"/>
    <col min="5" max="5" width="34.6640625" style="109" customWidth="1"/>
    <col min="6" max="6" width="30.6640625" style="109" customWidth="1"/>
    <col min="7" max="7" width="27" style="109" customWidth="1"/>
    <col min="8" max="8" width="28.5546875" style="109" customWidth="1"/>
    <col min="9" max="9" width="38.21875" style="109" customWidth="1"/>
    <col min="10" max="10" width="36.33203125" style="109" customWidth="1"/>
    <col min="11" max="11" width="31" style="109" customWidth="1"/>
    <col min="12" max="12" width="29.33203125" style="109" customWidth="1"/>
    <col min="13" max="15" width="33.109375" style="109" customWidth="1"/>
    <col min="16" max="16" width="35.6640625" style="109" customWidth="1"/>
    <col min="17" max="17" width="32.5546875" style="109" customWidth="1"/>
    <col min="18" max="18" width="33.109375" style="109" customWidth="1"/>
    <col min="19" max="19" width="35.5546875" style="109" customWidth="1"/>
    <col min="20" max="20" width="39.33203125" style="109" customWidth="1"/>
    <col min="21" max="21" width="39" style="109" customWidth="1"/>
    <col min="22" max="22" width="40.88671875" style="109" customWidth="1"/>
    <col min="23" max="23" width="38.44140625" style="109" customWidth="1"/>
    <col min="24" max="24" width="36.5546875" style="109" customWidth="1"/>
    <col min="25" max="25" width="42.44140625" style="109" customWidth="1"/>
    <col min="26" max="26" width="39.5546875" style="109" customWidth="1"/>
    <col min="27" max="27" width="39.6640625" style="109" customWidth="1"/>
    <col min="28" max="16384" width="14.44140625" style="109"/>
  </cols>
  <sheetData>
    <row r="1" spans="1:27" ht="18.600000000000001" thickBot="1" x14ac:dyDescent="0.4">
      <c r="A1" s="106"/>
      <c r="B1" s="107"/>
      <c r="C1" s="107"/>
      <c r="D1" s="107"/>
      <c r="E1" s="107"/>
      <c r="F1" s="107"/>
      <c r="G1" s="107"/>
      <c r="H1" s="107"/>
      <c r="I1" s="107"/>
      <c r="J1" s="107"/>
      <c r="K1" s="107"/>
      <c r="L1" s="107"/>
      <c r="M1" s="107"/>
      <c r="N1" s="107"/>
      <c r="O1" s="107"/>
      <c r="P1" s="107"/>
      <c r="Q1" s="107"/>
      <c r="R1" s="107"/>
      <c r="S1" s="107"/>
      <c r="T1" s="107"/>
      <c r="U1" s="107"/>
      <c r="V1" s="107"/>
      <c r="W1" s="107"/>
      <c r="X1" s="107"/>
      <c r="Y1" s="180"/>
      <c r="Z1" s="180"/>
      <c r="AA1" s="619"/>
    </row>
    <row r="2" spans="1:27" ht="170.4" customHeight="1" thickBot="1" x14ac:dyDescent="0.4">
      <c r="A2" s="110"/>
      <c r="B2" s="972" t="s">
        <v>0</v>
      </c>
      <c r="C2" s="982"/>
      <c r="D2" s="182" t="s">
        <v>1</v>
      </c>
      <c r="E2" s="113" t="s">
        <v>2</v>
      </c>
      <c r="F2" s="113" t="s">
        <v>3</v>
      </c>
      <c r="G2" s="113" t="s">
        <v>4</v>
      </c>
      <c r="H2" s="113" t="s">
        <v>1783</v>
      </c>
      <c r="I2" s="114" t="s">
        <v>5</v>
      </c>
      <c r="J2" s="114" t="s">
        <v>1784</v>
      </c>
      <c r="K2" s="537" t="s">
        <v>6</v>
      </c>
      <c r="L2" s="537" t="s">
        <v>1785</v>
      </c>
      <c r="M2" s="115" t="s">
        <v>1772</v>
      </c>
      <c r="N2" s="403" t="s">
        <v>1786</v>
      </c>
      <c r="O2" s="403" t="s">
        <v>1789</v>
      </c>
      <c r="P2" s="403" t="s">
        <v>1788</v>
      </c>
      <c r="Q2" s="403" t="s">
        <v>1787</v>
      </c>
      <c r="R2" s="403" t="s">
        <v>1790</v>
      </c>
      <c r="S2" s="403" t="s">
        <v>1791</v>
      </c>
      <c r="T2" s="478" t="s">
        <v>7</v>
      </c>
      <c r="U2" s="890" t="s">
        <v>1879</v>
      </c>
      <c r="V2" s="402" t="s">
        <v>8</v>
      </c>
      <c r="W2" s="402" t="s">
        <v>1880</v>
      </c>
      <c r="X2" s="401" t="s">
        <v>1793</v>
      </c>
      <c r="Y2" s="401" t="s">
        <v>1881</v>
      </c>
      <c r="Z2" s="607" t="s">
        <v>1774</v>
      </c>
      <c r="AA2" s="891" t="s">
        <v>1882</v>
      </c>
    </row>
    <row r="3" spans="1:27" s="230" customFormat="1" ht="138" customHeight="1" thickBot="1" x14ac:dyDescent="0.95">
      <c r="A3" s="225"/>
      <c r="B3" s="983" t="s">
        <v>1730</v>
      </c>
      <c r="C3" s="984"/>
      <c r="D3" s="226"/>
      <c r="E3" s="227">
        <v>0.25</v>
      </c>
      <c r="F3" s="228"/>
      <c r="G3" s="228"/>
      <c r="H3" s="228"/>
      <c r="I3" s="546">
        <f>+(I4+I26+I37+I60+I82+I97+I135+I167)/7</f>
        <v>0.22385775913845282</v>
      </c>
      <c r="J3" s="546">
        <f>+(J4+J26+J37+J60+J82+J97+J135+J167)/8</f>
        <v>0.23750007608291185</v>
      </c>
      <c r="K3" s="547">
        <f>+(K4+K26+K37+K60+K82+K97+K135)/7</f>
        <v>0.19844971717901827</v>
      </c>
      <c r="L3" s="547">
        <f>+(L4+L26+L37+L60+L82+L97+L135+L167)/8</f>
        <v>0.2146543362727274</v>
      </c>
      <c r="M3" s="229"/>
      <c r="N3" s="229"/>
      <c r="O3" s="229"/>
      <c r="P3" s="229"/>
      <c r="Q3" s="229"/>
      <c r="R3" s="229"/>
      <c r="S3" s="229"/>
      <c r="T3" s="546">
        <f>+(T4+T26+T37+T60+T82+T97+T135)/7</f>
        <v>0.80892636902467829</v>
      </c>
      <c r="U3" s="546">
        <f>+(U4+U26+U37+U60+U82+U97+U135+U167)/8</f>
        <v>0.67422125170163039</v>
      </c>
      <c r="V3" s="547">
        <f>+F4+F26+F37+F60+F82+F97+F135+F167</f>
        <v>0.50590750648462857</v>
      </c>
      <c r="W3" s="547">
        <f>+H4+H26+H37+H60+H82+H97+H135+H167</f>
        <v>0.45384704984548035</v>
      </c>
      <c r="X3" s="548">
        <f>+(X4+X26+X37+X60+X82+X97+X135)/7</f>
        <v>0.22152387408750876</v>
      </c>
      <c r="Y3" s="548">
        <f>+(Y4+Y26+Y37+Y60+Y82+Y97+Y135+Y167)/7</f>
        <v>0.41935961281116779</v>
      </c>
      <c r="Z3" s="549">
        <f>+(Z4+Z26+Z37+Z60+Z82+Z97+Z135)/7</f>
        <v>0.18576863791395756</v>
      </c>
      <c r="AA3" s="549">
        <f>+(AA4*E4+AA26*E26+AA37*E37+AA60*E60+AA82*E82+AA97*E97+AA135*E135+AA167*E167)</f>
        <v>0.32435261166966489</v>
      </c>
    </row>
    <row r="4" spans="1:27" ht="78" customHeight="1" thickBot="1" x14ac:dyDescent="0.4">
      <c r="A4" s="110"/>
      <c r="B4" s="976" t="s">
        <v>1731</v>
      </c>
      <c r="C4" s="981"/>
      <c r="D4" s="183"/>
      <c r="E4" s="118">
        <v>0.2</v>
      </c>
      <c r="F4" s="119">
        <f>+E4*V4</f>
        <v>0.13357444827586207</v>
      </c>
      <c r="G4" s="184"/>
      <c r="H4" s="119">
        <f>+E4*W4</f>
        <v>0.11912317206723028</v>
      </c>
      <c r="I4" s="121">
        <f>+(I5+I22)/2</f>
        <v>0.17442942942942941</v>
      </c>
      <c r="J4" s="121">
        <f>+(J5+J22)/2</f>
        <v>0.23004504504504508</v>
      </c>
      <c r="K4" s="122">
        <f>+(K5+K22)/2</f>
        <v>0.18726443243243246</v>
      </c>
      <c r="L4" s="122">
        <f>+(L5+L22)/2</f>
        <v>0.24209005405405412</v>
      </c>
      <c r="M4" s="185"/>
      <c r="N4" s="185"/>
      <c r="O4" s="185"/>
      <c r="P4" s="185"/>
      <c r="Q4" s="185"/>
      <c r="R4" s="185"/>
      <c r="S4" s="185"/>
      <c r="T4" s="121">
        <f>+(T5+T22)/2</f>
        <v>0.95366379310344829</v>
      </c>
      <c r="U4" s="121">
        <f>+(U5+U22)/2</f>
        <v>0.82489955157452144</v>
      </c>
      <c r="V4" s="122">
        <f>+V5+V22</f>
        <v>0.66787224137931034</v>
      </c>
      <c r="W4" s="122">
        <f>+W5+W22</f>
        <v>0.59561586033615133</v>
      </c>
      <c r="X4" s="186">
        <f>(X5+X22)/2</f>
        <v>0.23386643243243244</v>
      </c>
      <c r="Y4" s="186">
        <f>(Y5+Y22)/2</f>
        <v>0.43760520833333327</v>
      </c>
      <c r="Z4" s="187">
        <f>+Z5+Z22</f>
        <v>0.22782968756756758</v>
      </c>
      <c r="AA4" s="187">
        <f>+AA5*E5+AA22*E22</f>
        <v>0.49271867266666669</v>
      </c>
    </row>
    <row r="5" spans="1:27" ht="57" customHeight="1" thickBot="1" x14ac:dyDescent="0.4">
      <c r="A5" s="110"/>
      <c r="B5" s="970" t="s">
        <v>1732</v>
      </c>
      <c r="C5" s="981"/>
      <c r="D5" s="183"/>
      <c r="E5" s="188">
        <v>0.7</v>
      </c>
      <c r="F5" s="128"/>
      <c r="G5" s="128"/>
      <c r="H5" s="128"/>
      <c r="I5" s="129">
        <f>+AVERAGE(I6:I21)</f>
        <v>0.21777777777777776</v>
      </c>
      <c r="J5" s="129">
        <f>+AVERAGE(J6:J21)</f>
        <v>0.27000000000000007</v>
      </c>
      <c r="K5" s="129">
        <f>+K6+K7+K8+K9+K10+K11+K12+K13+K14+K15+K16+K17+K18+K19+K20+K21</f>
        <v>0.28966400000000003</v>
      </c>
      <c r="L5" s="129">
        <f>+L6+L7+L8+L9+L10+L11+L12+L13+L14+L15+L16+L17+L18+L19+L20+L21</f>
        <v>0.31607200000000013</v>
      </c>
      <c r="M5" s="128"/>
      <c r="N5" s="128"/>
      <c r="O5" s="128"/>
      <c r="P5" s="128"/>
      <c r="Q5" s="128"/>
      <c r="R5" s="128"/>
      <c r="S5" s="128"/>
      <c r="T5" s="150">
        <f>+AVERAGE(T6:T21)</f>
        <v>0.90732758620689657</v>
      </c>
      <c r="U5" s="150">
        <f>+AVERAGE(U6:U21)</f>
        <v>0.64979910314904277</v>
      </c>
      <c r="V5" s="150">
        <f>+(V6+V7+V8+V9+V10+V11+V12+V13+V14+V15+V16+V17+V18+V19+V20+V21)*E5</f>
        <v>0.48787224137931029</v>
      </c>
      <c r="W5" s="150">
        <f>+(W6+W7+W8+W9+W10+W11+W12+W13+W14+W15+W16+W17+W18+W19+W20+W21)*E5</f>
        <v>0.41561586033615133</v>
      </c>
      <c r="X5" s="129">
        <f>+AVERAGE(X6:X21)</f>
        <v>0.22375</v>
      </c>
      <c r="Y5" s="129">
        <f>+X5+((Y6-X6)/16)+((Y7-X7)/16)+((Y13-X13)/16)+((Y14-X14)/16)+((Y15-X15)/16)+((Y16-X16)/16)+((Y17-X17)/16)+((Y18-X18)/16)+((Y20-X20)/16)+((Y12-X12)/16)+((Y21-X21)/16)</f>
        <v>0.3142104166666666</v>
      </c>
      <c r="Z5" s="189">
        <f>+(Z6+Z7+Z8+Z9+Z10+Z11+Z12+Z13+Z14+Z15+Z16+Z17+Z18+Z19+Z20+Z21)*E5</f>
        <v>0.17677380000000001</v>
      </c>
      <c r="AA5" s="189">
        <f>+(AA6+AA7+AA8+AA9+AA10+AA11+AA12+AA13+AA14+AA15+AA16+AA17+AA18+AA19+AA20+AA21)</f>
        <v>0.47245524666666672</v>
      </c>
    </row>
    <row r="6" spans="1:27" ht="105.6" customHeight="1" thickBot="1" x14ac:dyDescent="0.4">
      <c r="A6" s="110"/>
      <c r="B6" s="140" t="s">
        <v>799</v>
      </c>
      <c r="C6" s="202" t="s">
        <v>1262</v>
      </c>
      <c r="D6" s="191" t="s">
        <v>560</v>
      </c>
      <c r="E6" s="192">
        <v>0.5</v>
      </c>
      <c r="F6" s="193">
        <v>1</v>
      </c>
      <c r="G6" s="130">
        <v>0.28999999999999998</v>
      </c>
      <c r="H6" s="130">
        <v>0.46</v>
      </c>
      <c r="I6" s="136">
        <f t="shared" ref="I6:I18" si="0">+G6/F6</f>
        <v>0.28999999999999998</v>
      </c>
      <c r="J6" s="136">
        <f>+H6/F6</f>
        <v>0.46</v>
      </c>
      <c r="K6" s="136">
        <f>+(G6/F6)*E6</f>
        <v>0.14499999999999999</v>
      </c>
      <c r="L6" s="136">
        <f>+(H6/F6)*E6</f>
        <v>0.23</v>
      </c>
      <c r="M6" s="130">
        <v>0.22</v>
      </c>
      <c r="N6" s="550">
        <v>0.02</v>
      </c>
      <c r="O6" s="550">
        <v>0.13200000000000001</v>
      </c>
      <c r="P6" s="550">
        <v>0.154</v>
      </c>
      <c r="Q6" s="130"/>
      <c r="R6" s="130">
        <f>+N6+O6+P6+Q6</f>
        <v>0.30599999999999999</v>
      </c>
      <c r="S6" s="130">
        <f>+R6+M6</f>
        <v>0.52600000000000002</v>
      </c>
      <c r="T6" s="152">
        <f t="shared" ref="T6" si="1">+(M6/G6)</f>
        <v>0.75862068965517249</v>
      </c>
      <c r="U6" s="152">
        <f>+R6/H6</f>
        <v>0.66521739130434776</v>
      </c>
      <c r="V6" s="138">
        <f t="shared" ref="V6" si="2">+T6*E6</f>
        <v>0.37931034482758624</v>
      </c>
      <c r="W6" s="138">
        <f>+U6*E6</f>
        <v>0.33260869565217388</v>
      </c>
      <c r="X6" s="152">
        <f t="shared" ref="X6" si="3">+M6/F6</f>
        <v>0.22</v>
      </c>
      <c r="Y6" s="197">
        <f>+S6/F6</f>
        <v>0.52600000000000002</v>
      </c>
      <c r="Z6" s="197">
        <f t="shared" ref="Z6" si="4">+X6*E6</f>
        <v>0.11</v>
      </c>
      <c r="AA6" s="197">
        <f>+Y6*E6</f>
        <v>0.26300000000000001</v>
      </c>
    </row>
    <row r="7" spans="1:27" ht="133.19999999999999" customHeight="1" thickBot="1" x14ac:dyDescent="0.4">
      <c r="A7" s="110"/>
      <c r="B7" s="133" t="s">
        <v>800</v>
      </c>
      <c r="C7" s="190" t="s">
        <v>1263</v>
      </c>
      <c r="D7" s="191" t="s">
        <v>560</v>
      </c>
      <c r="E7" s="195">
        <v>0.2</v>
      </c>
      <c r="F7" s="193">
        <v>1</v>
      </c>
      <c r="G7" s="130">
        <v>0.61</v>
      </c>
      <c r="H7" s="130">
        <v>0.27</v>
      </c>
      <c r="I7" s="136">
        <f t="shared" si="0"/>
        <v>0.61</v>
      </c>
      <c r="J7" s="136">
        <f t="shared" ref="J7:J25" si="5">+H7/F7</f>
        <v>0.27</v>
      </c>
      <c r="K7" s="136">
        <f t="shared" ref="K7:K18" si="6">+(G7/F7)*E7</f>
        <v>0.122</v>
      </c>
      <c r="L7" s="136">
        <f t="shared" ref="L7:L25" si="7">+(H7/F7)*E7</f>
        <v>5.4000000000000006E-2</v>
      </c>
      <c r="M7" s="130">
        <v>0.61</v>
      </c>
      <c r="N7" s="550">
        <v>0.09</v>
      </c>
      <c r="O7" s="550">
        <v>0.11</v>
      </c>
      <c r="P7" s="550">
        <v>0.05</v>
      </c>
      <c r="Q7" s="130"/>
      <c r="R7" s="130">
        <f t="shared" ref="R7:R21" si="8">+N7+O7+P7+Q7</f>
        <v>0.25</v>
      </c>
      <c r="S7" s="130">
        <f t="shared" ref="S7:S21" si="9">+R7+M7</f>
        <v>0.86</v>
      </c>
      <c r="T7" s="136">
        <f t="shared" ref="T7:T18" si="10">+(M7/G7)</f>
        <v>1</v>
      </c>
      <c r="U7" s="136">
        <f t="shared" ref="U7:U21" si="11">+R7/H7</f>
        <v>0.92592592592592582</v>
      </c>
      <c r="V7" s="138">
        <f t="shared" ref="V7:V18" si="12">+T7*E7</f>
        <v>0.2</v>
      </c>
      <c r="W7" s="138">
        <f t="shared" ref="W7:W25" si="13">+U7*E7</f>
        <v>0.18518518518518517</v>
      </c>
      <c r="X7" s="152">
        <f t="shared" ref="X7:X18" si="14">+M7/F7</f>
        <v>0.61</v>
      </c>
      <c r="Y7" s="197">
        <f t="shared" ref="Y7:Y25" si="15">+S7/F7</f>
        <v>0.86</v>
      </c>
      <c r="Z7" s="197">
        <f t="shared" ref="Z7:Z16" si="16">+X7*E7</f>
        <v>0.122</v>
      </c>
      <c r="AA7" s="197">
        <f>+Y7*E7</f>
        <v>0.17200000000000001</v>
      </c>
    </row>
    <row r="8" spans="1:27" ht="90" customHeight="1" thickBot="1" x14ac:dyDescent="0.4">
      <c r="A8" s="110"/>
      <c r="B8" s="133" t="s">
        <v>801</v>
      </c>
      <c r="C8" s="190" t="s">
        <v>1264</v>
      </c>
      <c r="D8" s="191" t="s">
        <v>802</v>
      </c>
      <c r="E8" s="196">
        <v>2.1999999999999999E-2</v>
      </c>
      <c r="F8" s="193">
        <v>1</v>
      </c>
      <c r="G8" s="130">
        <v>0</v>
      </c>
      <c r="H8" s="130">
        <v>0</v>
      </c>
      <c r="I8" s="136"/>
      <c r="J8" s="136"/>
      <c r="K8" s="136"/>
      <c r="L8" s="136">
        <f t="shared" si="7"/>
        <v>0</v>
      </c>
      <c r="M8" s="130"/>
      <c r="N8" s="550"/>
      <c r="O8" s="550"/>
      <c r="P8" s="550"/>
      <c r="Q8" s="130"/>
      <c r="R8" s="130">
        <f t="shared" si="8"/>
        <v>0</v>
      </c>
      <c r="S8" s="130">
        <f t="shared" si="9"/>
        <v>0</v>
      </c>
      <c r="T8" s="137"/>
      <c r="U8" s="136"/>
      <c r="V8" s="138"/>
      <c r="W8" s="138"/>
      <c r="X8" s="152"/>
      <c r="Y8" s="197"/>
      <c r="Z8" s="197">
        <v>0</v>
      </c>
      <c r="AA8" s="197">
        <v>0</v>
      </c>
    </row>
    <row r="9" spans="1:27" ht="81" customHeight="1" thickBot="1" x14ac:dyDescent="0.4">
      <c r="A9" s="110"/>
      <c r="B9" s="133" t="s">
        <v>803</v>
      </c>
      <c r="C9" s="190" t="s">
        <v>1265</v>
      </c>
      <c r="D9" s="191" t="s">
        <v>560</v>
      </c>
      <c r="E9" s="196">
        <v>2.1399999999999999E-2</v>
      </c>
      <c r="F9" s="193">
        <v>1</v>
      </c>
      <c r="G9" s="130">
        <v>0</v>
      </c>
      <c r="H9" s="130">
        <v>0</v>
      </c>
      <c r="I9" s="136"/>
      <c r="J9" s="136"/>
      <c r="K9" s="136"/>
      <c r="L9" s="136">
        <f t="shared" si="7"/>
        <v>0</v>
      </c>
      <c r="M9" s="130"/>
      <c r="N9" s="550"/>
      <c r="O9" s="550"/>
      <c r="P9" s="550"/>
      <c r="Q9" s="130"/>
      <c r="R9" s="130">
        <f t="shared" si="8"/>
        <v>0</v>
      </c>
      <c r="S9" s="130">
        <f t="shared" si="9"/>
        <v>0</v>
      </c>
      <c r="T9" s="137"/>
      <c r="U9" s="136"/>
      <c r="V9" s="138"/>
      <c r="W9" s="138"/>
      <c r="X9" s="152"/>
      <c r="Y9" s="197"/>
      <c r="Z9" s="197">
        <v>0</v>
      </c>
      <c r="AA9" s="197">
        <v>0</v>
      </c>
    </row>
    <row r="10" spans="1:27" ht="127.8" customHeight="1" thickBot="1" x14ac:dyDescent="0.4">
      <c r="A10" s="110"/>
      <c r="B10" s="133" t="s">
        <v>804</v>
      </c>
      <c r="C10" s="190" t="s">
        <v>1266</v>
      </c>
      <c r="D10" s="191" t="s">
        <v>560</v>
      </c>
      <c r="E10" s="196">
        <v>2.1399999999999999E-2</v>
      </c>
      <c r="F10" s="193">
        <v>1</v>
      </c>
      <c r="G10" s="130">
        <v>0</v>
      </c>
      <c r="H10" s="130">
        <v>0</v>
      </c>
      <c r="I10" s="136"/>
      <c r="J10" s="136"/>
      <c r="K10" s="136"/>
      <c r="L10" s="136">
        <f t="shared" si="7"/>
        <v>0</v>
      </c>
      <c r="M10" s="130"/>
      <c r="N10" s="550"/>
      <c r="O10" s="550"/>
      <c r="P10" s="550"/>
      <c r="Q10" s="130"/>
      <c r="R10" s="130">
        <f t="shared" si="8"/>
        <v>0</v>
      </c>
      <c r="S10" s="130">
        <f t="shared" si="9"/>
        <v>0</v>
      </c>
      <c r="T10" s="137"/>
      <c r="U10" s="136"/>
      <c r="V10" s="138"/>
      <c r="W10" s="138"/>
      <c r="X10" s="152"/>
      <c r="Y10" s="197"/>
      <c r="Z10" s="197">
        <v>0</v>
      </c>
      <c r="AA10" s="197">
        <v>0</v>
      </c>
    </row>
    <row r="11" spans="1:27" ht="115.95" customHeight="1" thickBot="1" x14ac:dyDescent="0.4">
      <c r="A11" s="110"/>
      <c r="B11" s="133" t="s">
        <v>805</v>
      </c>
      <c r="C11" s="190" t="s">
        <v>1267</v>
      </c>
      <c r="D11" s="191" t="s">
        <v>560</v>
      </c>
      <c r="E11" s="196">
        <v>2.1399999999999999E-2</v>
      </c>
      <c r="F11" s="193">
        <v>2</v>
      </c>
      <c r="G11" s="130">
        <v>0</v>
      </c>
      <c r="H11" s="130">
        <v>0</v>
      </c>
      <c r="I11" s="136"/>
      <c r="J11" s="136"/>
      <c r="K11" s="136"/>
      <c r="L11" s="136">
        <f t="shared" si="7"/>
        <v>0</v>
      </c>
      <c r="M11" s="130"/>
      <c r="N11" s="550"/>
      <c r="O11" s="550"/>
      <c r="P11" s="550"/>
      <c r="Q11" s="130"/>
      <c r="R11" s="130">
        <f t="shared" si="8"/>
        <v>0</v>
      </c>
      <c r="S11" s="130">
        <f t="shared" si="9"/>
        <v>0</v>
      </c>
      <c r="T11" s="137"/>
      <c r="U11" s="136"/>
      <c r="V11" s="138"/>
      <c r="W11" s="138"/>
      <c r="X11" s="152"/>
      <c r="Y11" s="197"/>
      <c r="Z11" s="197">
        <v>0</v>
      </c>
      <c r="AA11" s="197">
        <v>0</v>
      </c>
    </row>
    <row r="12" spans="1:27" ht="94.95" customHeight="1" thickBot="1" x14ac:dyDescent="0.4">
      <c r="A12" s="110"/>
      <c r="B12" s="133" t="s">
        <v>806</v>
      </c>
      <c r="C12" s="190" t="s">
        <v>1268</v>
      </c>
      <c r="D12" s="191" t="s">
        <v>560</v>
      </c>
      <c r="E12" s="196">
        <v>2.1299999999999999E-2</v>
      </c>
      <c r="F12" s="193">
        <v>1</v>
      </c>
      <c r="G12" s="130">
        <v>0</v>
      </c>
      <c r="H12" s="130">
        <v>0.1</v>
      </c>
      <c r="I12" s="136"/>
      <c r="J12" s="136">
        <f t="shared" si="5"/>
        <v>0.1</v>
      </c>
      <c r="K12" s="136"/>
      <c r="L12" s="136">
        <f t="shared" si="7"/>
        <v>2.1299999999999999E-3</v>
      </c>
      <c r="M12" s="130"/>
      <c r="N12" s="550"/>
      <c r="O12" s="550"/>
      <c r="P12" s="551">
        <v>0.1</v>
      </c>
      <c r="Q12" s="130"/>
      <c r="R12" s="130">
        <f t="shared" si="8"/>
        <v>0.1</v>
      </c>
      <c r="S12" s="130">
        <f t="shared" si="9"/>
        <v>0.1</v>
      </c>
      <c r="T12" s="137"/>
      <c r="U12" s="136">
        <f t="shared" si="11"/>
        <v>1</v>
      </c>
      <c r="V12" s="138"/>
      <c r="W12" s="138">
        <f t="shared" si="13"/>
        <v>2.1299999999999999E-2</v>
      </c>
      <c r="X12" s="152"/>
      <c r="Y12" s="197">
        <f t="shared" si="15"/>
        <v>0.1</v>
      </c>
      <c r="Z12" s="197">
        <v>0</v>
      </c>
      <c r="AA12" s="197">
        <v>0</v>
      </c>
    </row>
    <row r="13" spans="1:27" ht="69.599999999999994" customHeight="1" thickBot="1" x14ac:dyDescent="0.4">
      <c r="A13" s="110"/>
      <c r="B13" s="133" t="s">
        <v>807</v>
      </c>
      <c r="C13" s="190" t="s">
        <v>1269</v>
      </c>
      <c r="D13" s="191" t="s">
        <v>560</v>
      </c>
      <c r="E13" s="196">
        <v>2.1299999999999999E-2</v>
      </c>
      <c r="F13" s="193">
        <v>1</v>
      </c>
      <c r="G13" s="130">
        <v>0.2</v>
      </c>
      <c r="H13" s="130">
        <v>0.18</v>
      </c>
      <c r="I13" s="136">
        <f t="shared" si="0"/>
        <v>0.2</v>
      </c>
      <c r="J13" s="136">
        <f t="shared" si="5"/>
        <v>0.18</v>
      </c>
      <c r="K13" s="136">
        <f t="shared" si="6"/>
        <v>4.2599999999999999E-3</v>
      </c>
      <c r="L13" s="136">
        <f t="shared" si="7"/>
        <v>3.8339999999999997E-3</v>
      </c>
      <c r="M13" s="130">
        <v>0.1</v>
      </c>
      <c r="N13" s="590">
        <v>0.02</v>
      </c>
      <c r="O13" s="590">
        <v>2.33333333333333E-2</v>
      </c>
      <c r="P13" s="551">
        <v>9.6666666666666706E-2</v>
      </c>
      <c r="Q13" s="130"/>
      <c r="R13" s="164">
        <f t="shared" si="8"/>
        <v>0.14000000000000001</v>
      </c>
      <c r="S13" s="164">
        <f t="shared" si="9"/>
        <v>0.24000000000000002</v>
      </c>
      <c r="T13" s="136">
        <f t="shared" si="10"/>
        <v>0.5</v>
      </c>
      <c r="U13" s="136">
        <f t="shared" si="11"/>
        <v>0.7777777777777779</v>
      </c>
      <c r="V13" s="138">
        <f t="shared" si="12"/>
        <v>1.065E-2</v>
      </c>
      <c r="W13" s="138">
        <f t="shared" si="13"/>
        <v>1.6566666666666671E-2</v>
      </c>
      <c r="X13" s="152">
        <f t="shared" si="14"/>
        <v>0.1</v>
      </c>
      <c r="Y13" s="197">
        <f t="shared" si="15"/>
        <v>0.24000000000000002</v>
      </c>
      <c r="Z13" s="197">
        <f t="shared" si="16"/>
        <v>2.1299999999999999E-3</v>
      </c>
      <c r="AA13" s="197">
        <f t="shared" ref="AA13:AA21" si="17">+Y13*E13</f>
        <v>5.1120000000000002E-3</v>
      </c>
    </row>
    <row r="14" spans="1:27" ht="66" customHeight="1" thickBot="1" x14ac:dyDescent="0.4">
      <c r="A14" s="110"/>
      <c r="B14" s="133" t="s">
        <v>808</v>
      </c>
      <c r="C14" s="190" t="s">
        <v>1270</v>
      </c>
      <c r="D14" s="191" t="s">
        <v>560</v>
      </c>
      <c r="E14" s="196">
        <v>2.1399999999999999E-2</v>
      </c>
      <c r="F14" s="193">
        <v>2</v>
      </c>
      <c r="G14" s="130">
        <v>0.2</v>
      </c>
      <c r="H14" s="130">
        <v>0.4</v>
      </c>
      <c r="I14" s="136">
        <f t="shared" si="0"/>
        <v>0.1</v>
      </c>
      <c r="J14" s="136">
        <v>0.4</v>
      </c>
      <c r="K14" s="136">
        <f t="shared" si="6"/>
        <v>2.14E-3</v>
      </c>
      <c r="L14" s="136">
        <f t="shared" si="7"/>
        <v>4.28E-3</v>
      </c>
      <c r="M14" s="130">
        <v>0.2</v>
      </c>
      <c r="N14" s="590">
        <v>0.05</v>
      </c>
      <c r="O14" s="590">
        <v>0.06</v>
      </c>
      <c r="P14" s="551">
        <v>8.3333333333333301E-2</v>
      </c>
      <c r="Q14" s="130"/>
      <c r="R14" s="164">
        <f t="shared" si="8"/>
        <v>0.1933333333333333</v>
      </c>
      <c r="S14" s="164">
        <f t="shared" si="9"/>
        <v>0.39333333333333331</v>
      </c>
      <c r="T14" s="136">
        <f t="shared" si="10"/>
        <v>1</v>
      </c>
      <c r="U14" s="136">
        <f t="shared" si="11"/>
        <v>0.48333333333333323</v>
      </c>
      <c r="V14" s="138">
        <f t="shared" si="12"/>
        <v>2.1399999999999999E-2</v>
      </c>
      <c r="W14" s="138">
        <f t="shared" si="13"/>
        <v>1.0343333333333331E-2</v>
      </c>
      <c r="X14" s="152">
        <f t="shared" si="14"/>
        <v>0.1</v>
      </c>
      <c r="Y14" s="197">
        <f t="shared" si="15"/>
        <v>0.19666666666666666</v>
      </c>
      <c r="Z14" s="197">
        <f t="shared" si="16"/>
        <v>2.14E-3</v>
      </c>
      <c r="AA14" s="197">
        <f t="shared" si="17"/>
        <v>4.2086666666666661E-3</v>
      </c>
    </row>
    <row r="15" spans="1:27" ht="127.2" customHeight="1" thickBot="1" x14ac:dyDescent="0.4">
      <c r="A15" s="110"/>
      <c r="B15" s="133" t="s">
        <v>809</v>
      </c>
      <c r="C15" s="190" t="s">
        <v>1271</v>
      </c>
      <c r="D15" s="191" t="s">
        <v>560</v>
      </c>
      <c r="E15" s="196">
        <v>2.1399999999999999E-2</v>
      </c>
      <c r="F15" s="193">
        <v>1</v>
      </c>
      <c r="G15" s="130">
        <v>0.2</v>
      </c>
      <c r="H15" s="130">
        <v>0</v>
      </c>
      <c r="I15" s="136">
        <f t="shared" si="0"/>
        <v>0.2</v>
      </c>
      <c r="J15" s="136"/>
      <c r="K15" s="136">
        <f t="shared" si="6"/>
        <v>4.28E-3</v>
      </c>
      <c r="L15" s="136">
        <f t="shared" si="7"/>
        <v>0</v>
      </c>
      <c r="M15" s="130">
        <v>0.2</v>
      </c>
      <c r="N15" s="550"/>
      <c r="O15" s="550"/>
      <c r="P15" s="550"/>
      <c r="Q15" s="130"/>
      <c r="R15" s="130">
        <f t="shared" si="8"/>
        <v>0</v>
      </c>
      <c r="S15" s="130">
        <f t="shared" si="9"/>
        <v>0.2</v>
      </c>
      <c r="T15" s="136">
        <f t="shared" si="10"/>
        <v>1</v>
      </c>
      <c r="U15" s="136"/>
      <c r="V15" s="138">
        <f t="shared" si="12"/>
        <v>2.1399999999999999E-2</v>
      </c>
      <c r="W15" s="138">
        <f t="shared" si="13"/>
        <v>0</v>
      </c>
      <c r="X15" s="152">
        <f t="shared" si="14"/>
        <v>0.2</v>
      </c>
      <c r="Y15" s="197">
        <f>+S15/F15</f>
        <v>0.2</v>
      </c>
      <c r="Z15" s="197">
        <f t="shared" si="16"/>
        <v>4.28E-3</v>
      </c>
      <c r="AA15" s="197">
        <f t="shared" si="17"/>
        <v>4.28E-3</v>
      </c>
    </row>
    <row r="16" spans="1:27" ht="70.2" customHeight="1" thickBot="1" x14ac:dyDescent="0.4">
      <c r="A16" s="110"/>
      <c r="B16" s="133" t="s">
        <v>810</v>
      </c>
      <c r="C16" s="190" t="s">
        <v>1272</v>
      </c>
      <c r="D16" s="191" t="s">
        <v>811</v>
      </c>
      <c r="E16" s="196">
        <v>2.1399999999999999E-2</v>
      </c>
      <c r="F16" s="193">
        <v>1</v>
      </c>
      <c r="G16" s="130">
        <v>0.2</v>
      </c>
      <c r="H16" s="130">
        <v>0</v>
      </c>
      <c r="I16" s="136">
        <f t="shared" si="0"/>
        <v>0.2</v>
      </c>
      <c r="J16" s="136"/>
      <c r="K16" s="136">
        <f t="shared" si="6"/>
        <v>4.28E-3</v>
      </c>
      <c r="L16" s="136">
        <f t="shared" si="7"/>
        <v>0</v>
      </c>
      <c r="M16" s="130">
        <v>0.2</v>
      </c>
      <c r="N16" s="550"/>
      <c r="O16" s="550"/>
      <c r="P16" s="550"/>
      <c r="Q16" s="130"/>
      <c r="R16" s="130">
        <f t="shared" si="8"/>
        <v>0</v>
      </c>
      <c r="S16" s="130">
        <f t="shared" si="9"/>
        <v>0.2</v>
      </c>
      <c r="T16" s="136">
        <f t="shared" si="10"/>
        <v>1</v>
      </c>
      <c r="U16" s="136"/>
      <c r="V16" s="138">
        <f t="shared" si="12"/>
        <v>2.1399999999999999E-2</v>
      </c>
      <c r="W16" s="138">
        <f t="shared" si="13"/>
        <v>0</v>
      </c>
      <c r="X16" s="152">
        <f t="shared" si="14"/>
        <v>0.2</v>
      </c>
      <c r="Y16" s="197">
        <f t="shared" si="15"/>
        <v>0.2</v>
      </c>
      <c r="Z16" s="197">
        <f t="shared" si="16"/>
        <v>4.28E-3</v>
      </c>
      <c r="AA16" s="197">
        <f t="shared" si="17"/>
        <v>4.28E-3</v>
      </c>
    </row>
    <row r="17" spans="1:27" ht="70.2" customHeight="1" thickBot="1" x14ac:dyDescent="0.4">
      <c r="A17" s="110"/>
      <c r="B17" s="133" t="s">
        <v>812</v>
      </c>
      <c r="C17" s="190" t="s">
        <v>1273</v>
      </c>
      <c r="D17" s="191" t="s">
        <v>811</v>
      </c>
      <c r="E17" s="196">
        <v>2.1399999999999999E-2</v>
      </c>
      <c r="F17" s="193">
        <v>1</v>
      </c>
      <c r="G17" s="130">
        <v>0.25</v>
      </c>
      <c r="H17" s="130">
        <v>0.25</v>
      </c>
      <c r="I17" s="136">
        <f t="shared" si="0"/>
        <v>0.25</v>
      </c>
      <c r="J17" s="136">
        <f t="shared" si="5"/>
        <v>0.25</v>
      </c>
      <c r="K17" s="136">
        <f t="shared" si="6"/>
        <v>5.3499999999999997E-3</v>
      </c>
      <c r="L17" s="136">
        <f t="shared" si="7"/>
        <v>5.3499999999999997E-3</v>
      </c>
      <c r="M17" s="130">
        <v>0.25</v>
      </c>
      <c r="N17" s="550">
        <v>6.25E-2</v>
      </c>
      <c r="O17" s="550">
        <v>6.25E-2</v>
      </c>
      <c r="P17" s="550"/>
      <c r="Q17" s="130"/>
      <c r="R17" s="130">
        <f t="shared" si="8"/>
        <v>0.125</v>
      </c>
      <c r="S17" s="130">
        <f t="shared" si="9"/>
        <v>0.375</v>
      </c>
      <c r="T17" s="136">
        <f t="shared" si="10"/>
        <v>1</v>
      </c>
      <c r="U17" s="152">
        <f t="shared" si="11"/>
        <v>0.5</v>
      </c>
      <c r="V17" s="138">
        <f t="shared" si="12"/>
        <v>2.1399999999999999E-2</v>
      </c>
      <c r="W17" s="138">
        <f t="shared" si="13"/>
        <v>1.0699999999999999E-2</v>
      </c>
      <c r="X17" s="152">
        <f>+M17/F17</f>
        <v>0.25</v>
      </c>
      <c r="Y17" s="197">
        <f t="shared" si="15"/>
        <v>0.375</v>
      </c>
      <c r="Z17" s="197">
        <f>+X17*E17</f>
        <v>5.3499999999999997E-3</v>
      </c>
      <c r="AA17" s="197">
        <f t="shared" si="17"/>
        <v>8.0249999999999991E-3</v>
      </c>
    </row>
    <row r="18" spans="1:27" ht="55.2" customHeight="1" thickBot="1" x14ac:dyDescent="0.4">
      <c r="A18" s="110"/>
      <c r="B18" s="133" t="s">
        <v>813</v>
      </c>
      <c r="C18" s="190" t="s">
        <v>1274</v>
      </c>
      <c r="D18" s="191" t="s">
        <v>811</v>
      </c>
      <c r="E18" s="196">
        <v>2.1399999999999999E-2</v>
      </c>
      <c r="F18" s="193">
        <v>1</v>
      </c>
      <c r="G18" s="130">
        <v>0.11</v>
      </c>
      <c r="H18" s="130">
        <v>0.32</v>
      </c>
      <c r="I18" s="136">
        <f t="shared" si="0"/>
        <v>0.11</v>
      </c>
      <c r="J18" s="136">
        <f t="shared" si="5"/>
        <v>0.32</v>
      </c>
      <c r="K18" s="136">
        <f t="shared" si="6"/>
        <v>2.3539999999999998E-3</v>
      </c>
      <c r="L18" s="136">
        <f t="shared" si="7"/>
        <v>6.8479999999999999E-3</v>
      </c>
      <c r="M18" s="130">
        <v>0.11</v>
      </c>
      <c r="N18" s="550">
        <v>5.5E-2</v>
      </c>
      <c r="O18" s="550">
        <v>7.0699999999999999E-2</v>
      </c>
      <c r="P18" s="550">
        <v>0.129</v>
      </c>
      <c r="Q18" s="130"/>
      <c r="R18" s="210">
        <f t="shared" si="8"/>
        <v>0.25470000000000004</v>
      </c>
      <c r="S18" s="210">
        <f t="shared" si="9"/>
        <v>0.36470000000000002</v>
      </c>
      <c r="T18" s="136">
        <f t="shared" si="10"/>
        <v>1</v>
      </c>
      <c r="U18" s="152">
        <f t="shared" si="11"/>
        <v>0.79593750000000008</v>
      </c>
      <c r="V18" s="138">
        <f t="shared" si="12"/>
        <v>2.1399999999999999E-2</v>
      </c>
      <c r="W18" s="138">
        <f t="shared" si="13"/>
        <v>1.7033062500000001E-2</v>
      </c>
      <c r="X18" s="152">
        <f t="shared" si="14"/>
        <v>0.11</v>
      </c>
      <c r="Y18" s="197">
        <f t="shared" si="15"/>
        <v>0.36470000000000002</v>
      </c>
      <c r="Z18" s="197">
        <f>+X18*E18</f>
        <v>2.3539999999999998E-3</v>
      </c>
      <c r="AA18" s="197">
        <f t="shared" si="17"/>
        <v>7.8045800000000002E-3</v>
      </c>
    </row>
    <row r="19" spans="1:27" ht="120.6" customHeight="1" thickBot="1" x14ac:dyDescent="0.4">
      <c r="A19" s="110"/>
      <c r="B19" s="133" t="s">
        <v>814</v>
      </c>
      <c r="C19" s="190" t="s">
        <v>1275</v>
      </c>
      <c r="D19" s="191" t="s">
        <v>811</v>
      </c>
      <c r="E19" s="196">
        <v>2.1399999999999999E-2</v>
      </c>
      <c r="F19" s="193">
        <v>10</v>
      </c>
      <c r="G19" s="130">
        <v>0</v>
      </c>
      <c r="H19" s="130">
        <v>0</v>
      </c>
      <c r="I19" s="136"/>
      <c r="J19" s="136"/>
      <c r="K19" s="136"/>
      <c r="L19" s="136">
        <f t="shared" si="7"/>
        <v>0</v>
      </c>
      <c r="M19" s="130"/>
      <c r="N19" s="550"/>
      <c r="O19" s="130"/>
      <c r="P19" s="130"/>
      <c r="Q19" s="130"/>
      <c r="R19" s="130">
        <f t="shared" si="8"/>
        <v>0</v>
      </c>
      <c r="S19" s="130">
        <f t="shared" si="9"/>
        <v>0</v>
      </c>
      <c r="T19" s="137"/>
      <c r="U19" s="152"/>
      <c r="V19" s="138"/>
      <c r="W19" s="138"/>
      <c r="X19" s="152"/>
      <c r="Y19" s="197"/>
      <c r="Z19" s="197">
        <v>0</v>
      </c>
      <c r="AA19" s="197">
        <f t="shared" si="17"/>
        <v>0</v>
      </c>
    </row>
    <row r="20" spans="1:27" ht="102" customHeight="1" thickBot="1" x14ac:dyDescent="0.4">
      <c r="A20" s="110"/>
      <c r="B20" s="133" t="s">
        <v>815</v>
      </c>
      <c r="C20" s="190" t="s">
        <v>1276</v>
      </c>
      <c r="D20" s="191" t="s">
        <v>560</v>
      </c>
      <c r="E20" s="196">
        <v>2.1399999999999999E-2</v>
      </c>
      <c r="F20" s="193">
        <v>4</v>
      </c>
      <c r="G20" s="130">
        <v>0</v>
      </c>
      <c r="H20" s="130">
        <v>1</v>
      </c>
      <c r="I20" s="136"/>
      <c r="J20" s="136">
        <f t="shared" si="5"/>
        <v>0.25</v>
      </c>
      <c r="K20" s="136"/>
      <c r="L20" s="136">
        <f t="shared" si="7"/>
        <v>5.3499999999999997E-3</v>
      </c>
      <c r="M20" s="130"/>
      <c r="N20" s="550">
        <v>0</v>
      </c>
      <c r="O20" s="550">
        <v>0.2</v>
      </c>
      <c r="P20" s="550">
        <v>0.5</v>
      </c>
      <c r="Q20" s="130"/>
      <c r="R20" s="130">
        <f t="shared" si="8"/>
        <v>0.7</v>
      </c>
      <c r="S20" s="130">
        <f t="shared" si="9"/>
        <v>0.7</v>
      </c>
      <c r="T20" s="137"/>
      <c r="U20" s="152">
        <f t="shared" si="11"/>
        <v>0.7</v>
      </c>
      <c r="V20" s="138"/>
      <c r="W20" s="138"/>
      <c r="X20" s="152"/>
      <c r="Y20" s="197">
        <f>+S20/F20</f>
        <v>0.17499999999999999</v>
      </c>
      <c r="Z20" s="197">
        <f>+X20*E20</f>
        <v>0</v>
      </c>
      <c r="AA20" s="197">
        <f t="shared" si="17"/>
        <v>3.7449999999999996E-3</v>
      </c>
    </row>
    <row r="21" spans="1:27" ht="87.6" customHeight="1" thickBot="1" x14ac:dyDescent="0.4">
      <c r="A21" s="110"/>
      <c r="B21" s="133" t="s">
        <v>816</v>
      </c>
      <c r="C21" s="190" t="s">
        <v>1277</v>
      </c>
      <c r="D21" s="191" t="s">
        <v>560</v>
      </c>
      <c r="E21" s="196">
        <v>2.1399999999999999E-2</v>
      </c>
      <c r="F21" s="193">
        <v>1</v>
      </c>
      <c r="G21" s="130">
        <v>0</v>
      </c>
      <c r="H21" s="130">
        <v>0.2</v>
      </c>
      <c r="I21" s="136">
        <v>0</v>
      </c>
      <c r="J21" s="136">
        <f t="shared" si="5"/>
        <v>0.2</v>
      </c>
      <c r="K21" s="136"/>
      <c r="L21" s="136">
        <f t="shared" si="7"/>
        <v>4.28E-3</v>
      </c>
      <c r="M21" s="130"/>
      <c r="N21" s="550">
        <v>0</v>
      </c>
      <c r="O21" s="550"/>
      <c r="P21" s="550"/>
      <c r="Q21" s="130"/>
      <c r="R21" s="130">
        <f t="shared" si="8"/>
        <v>0</v>
      </c>
      <c r="S21" s="130">
        <f t="shared" si="9"/>
        <v>0</v>
      </c>
      <c r="T21" s="137"/>
      <c r="U21" s="152">
        <f t="shared" si="11"/>
        <v>0</v>
      </c>
      <c r="V21" s="138"/>
      <c r="W21" s="138">
        <f t="shared" si="13"/>
        <v>0</v>
      </c>
      <c r="X21" s="152"/>
      <c r="Y21" s="197">
        <f>+S21/F21</f>
        <v>0</v>
      </c>
      <c r="Z21" s="197">
        <v>0</v>
      </c>
      <c r="AA21" s="197">
        <f t="shared" si="17"/>
        <v>0</v>
      </c>
    </row>
    <row r="22" spans="1:27" ht="57" customHeight="1" thickBot="1" x14ac:dyDescent="0.4">
      <c r="A22" s="110"/>
      <c r="B22" s="970" t="s">
        <v>1653</v>
      </c>
      <c r="C22" s="981"/>
      <c r="D22" s="198"/>
      <c r="E22" s="199">
        <v>0.3</v>
      </c>
      <c r="F22" s="200"/>
      <c r="G22" s="123"/>
      <c r="H22" s="123"/>
      <c r="I22" s="129">
        <f>+AVERAGE(I23:I25)</f>
        <v>0.13108108108108107</v>
      </c>
      <c r="J22" s="129">
        <f>+AVERAGE(J23:J25)</f>
        <v>0.19009009009009006</v>
      </c>
      <c r="K22" s="129">
        <f>+K23+K24+K25</f>
        <v>8.4864864864864872E-2</v>
      </c>
      <c r="L22" s="129">
        <f>+L23+L24+L25</f>
        <v>0.16810810810810811</v>
      </c>
      <c r="M22" s="128"/>
      <c r="N22" s="128"/>
      <c r="O22" s="128"/>
      <c r="P22" s="128"/>
      <c r="Q22" s="128"/>
      <c r="R22" s="128"/>
      <c r="S22" s="128"/>
      <c r="T22" s="150">
        <f>+AVERAGE(T23:T25)</f>
        <v>1</v>
      </c>
      <c r="U22" s="150">
        <f>+AVERAGE(U23:U25)</f>
        <v>1</v>
      </c>
      <c r="V22" s="150">
        <f>+(V23+V24+V25)*E22</f>
        <v>0.18000000000000002</v>
      </c>
      <c r="W22" s="150">
        <f>+(W23+W24+W25)*E22</f>
        <v>0.18000000000000002</v>
      </c>
      <c r="X22" s="129">
        <f>+AVERAGE(X23:X25)</f>
        <v>0.24398286486486487</v>
      </c>
      <c r="Y22" s="129">
        <f>+(Y23*0.33)+(Y24*0.33)+(Y25*0.33)</f>
        <v>0.56099999999999994</v>
      </c>
      <c r="Z22" s="189">
        <f>+(Z23+Z24+Z25)*E22</f>
        <v>5.1055887567567564E-2</v>
      </c>
      <c r="AA22" s="189">
        <f>+(AA23+AA24+AA25)</f>
        <v>0.54</v>
      </c>
    </row>
    <row r="23" spans="1:27" ht="102.6" customHeight="1" thickBot="1" x14ac:dyDescent="0.4">
      <c r="A23" s="110"/>
      <c r="B23" s="800" t="s">
        <v>817</v>
      </c>
      <c r="C23" s="801" t="s">
        <v>1278</v>
      </c>
      <c r="D23" s="198" t="s">
        <v>1494</v>
      </c>
      <c r="E23" s="195">
        <v>0.4</v>
      </c>
      <c r="F23" s="193">
        <v>185000</v>
      </c>
      <c r="G23" s="130">
        <v>30000</v>
      </c>
      <c r="H23" s="130">
        <v>50000</v>
      </c>
      <c r="I23" s="136">
        <f>+G23/F23</f>
        <v>0.16216216216216217</v>
      </c>
      <c r="J23" s="136">
        <f t="shared" si="5"/>
        <v>0.27027027027027029</v>
      </c>
      <c r="K23" s="136">
        <f>+(G23/F23)*E23</f>
        <v>6.4864864864864868E-2</v>
      </c>
      <c r="L23" s="136">
        <f t="shared" si="7"/>
        <v>0.10810810810810811</v>
      </c>
      <c r="M23" s="130">
        <v>67148.66</v>
      </c>
      <c r="N23" s="550">
        <v>14768.91</v>
      </c>
      <c r="O23" s="550">
        <v>58387.23</v>
      </c>
      <c r="P23" s="550">
        <v>81238.960000000006</v>
      </c>
      <c r="Q23" s="130"/>
      <c r="R23" s="130">
        <f t="shared" ref="R23:R25" si="18">+N23+O23+P23+Q23</f>
        <v>154395.1</v>
      </c>
      <c r="S23" s="130">
        <f t="shared" ref="S23:S25" si="19">+R23+M23</f>
        <v>221543.76</v>
      </c>
      <c r="T23" s="136">
        <v>1</v>
      </c>
      <c r="U23" s="136">
        <v>1</v>
      </c>
      <c r="V23" s="136">
        <f>+T23*E23</f>
        <v>0.4</v>
      </c>
      <c r="W23" s="136">
        <f t="shared" si="13"/>
        <v>0.4</v>
      </c>
      <c r="X23" s="138">
        <f>+M23/F23</f>
        <v>0.36296572972972974</v>
      </c>
      <c r="Y23" s="219">
        <v>1</v>
      </c>
      <c r="Z23" s="197">
        <f>+X23*E23</f>
        <v>0.14518629189189189</v>
      </c>
      <c r="AA23" s="197">
        <f>+Y23*E23</f>
        <v>0.4</v>
      </c>
    </row>
    <row r="24" spans="1:27" ht="78" customHeight="1" thickBot="1" x14ac:dyDescent="0.4">
      <c r="A24" s="110"/>
      <c r="B24" s="133" t="s">
        <v>819</v>
      </c>
      <c r="C24" s="190" t="s">
        <v>1279</v>
      </c>
      <c r="D24" s="198" t="s">
        <v>1494</v>
      </c>
      <c r="E24" s="195">
        <v>0.4</v>
      </c>
      <c r="F24" s="193">
        <v>11000</v>
      </c>
      <c r="G24" s="130">
        <v>0</v>
      </c>
      <c r="H24" s="130">
        <v>0</v>
      </c>
      <c r="I24" s="136"/>
      <c r="J24" s="136">
        <f t="shared" si="5"/>
        <v>0</v>
      </c>
      <c r="K24" s="136"/>
      <c r="L24" s="136">
        <f t="shared" si="7"/>
        <v>0</v>
      </c>
      <c r="M24" s="130"/>
      <c r="N24" s="550">
        <v>0</v>
      </c>
      <c r="O24" s="550">
        <v>0</v>
      </c>
      <c r="P24" s="130"/>
      <c r="Q24" s="130"/>
      <c r="R24" s="130">
        <f t="shared" si="18"/>
        <v>0</v>
      </c>
      <c r="S24" s="130">
        <f t="shared" si="19"/>
        <v>0</v>
      </c>
      <c r="T24" s="136"/>
      <c r="U24" s="136"/>
      <c r="V24" s="136"/>
      <c r="W24" s="136">
        <f t="shared" si="13"/>
        <v>0</v>
      </c>
      <c r="X24" s="136"/>
      <c r="Y24" s="219">
        <f>+S24/F24</f>
        <v>0</v>
      </c>
      <c r="Z24" s="194"/>
      <c r="AA24" s="197">
        <f>+Y24*E24</f>
        <v>0</v>
      </c>
    </row>
    <row r="25" spans="1:27" ht="88.95" customHeight="1" thickBot="1" x14ac:dyDescent="0.4">
      <c r="A25" s="110"/>
      <c r="B25" s="800" t="s">
        <v>820</v>
      </c>
      <c r="C25" s="801" t="s">
        <v>1280</v>
      </c>
      <c r="D25" s="198" t="s">
        <v>1494</v>
      </c>
      <c r="E25" s="195">
        <v>0.2</v>
      </c>
      <c r="F25" s="193">
        <v>200</v>
      </c>
      <c r="G25" s="130">
        <v>20</v>
      </c>
      <c r="H25" s="130">
        <v>60</v>
      </c>
      <c r="I25" s="136">
        <f>+G25/F25</f>
        <v>0.1</v>
      </c>
      <c r="J25" s="136">
        <f t="shared" si="5"/>
        <v>0.3</v>
      </c>
      <c r="K25" s="136">
        <f>+(G25/F25)*E25</f>
        <v>2.0000000000000004E-2</v>
      </c>
      <c r="L25" s="136">
        <f t="shared" si="7"/>
        <v>0.06</v>
      </c>
      <c r="M25" s="130">
        <v>25</v>
      </c>
      <c r="N25" s="550">
        <v>0</v>
      </c>
      <c r="O25" s="550">
        <v>55</v>
      </c>
      <c r="P25" s="550">
        <v>60</v>
      </c>
      <c r="Q25" s="130"/>
      <c r="R25" s="130">
        <f t="shared" si="18"/>
        <v>115</v>
      </c>
      <c r="S25" s="130">
        <f t="shared" si="19"/>
        <v>140</v>
      </c>
      <c r="T25" s="136">
        <v>1</v>
      </c>
      <c r="U25" s="136">
        <v>1</v>
      </c>
      <c r="V25" s="136">
        <f>+T25*E25</f>
        <v>0.2</v>
      </c>
      <c r="W25" s="136">
        <f t="shared" si="13"/>
        <v>0.2</v>
      </c>
      <c r="X25" s="136">
        <f>+M25/F25</f>
        <v>0.125</v>
      </c>
      <c r="Y25" s="194">
        <f t="shared" si="15"/>
        <v>0.7</v>
      </c>
      <c r="Z25" s="197">
        <f>+X25*E25</f>
        <v>2.5000000000000001E-2</v>
      </c>
      <c r="AA25" s="197">
        <f>+Y25*E25</f>
        <v>0.13999999999999999</v>
      </c>
    </row>
    <row r="26" spans="1:27" ht="62.25" customHeight="1" thickBot="1" x14ac:dyDescent="0.4">
      <c r="A26" s="110"/>
      <c r="B26" s="976" t="s">
        <v>1733</v>
      </c>
      <c r="C26" s="981"/>
      <c r="D26" s="198"/>
      <c r="E26" s="201">
        <v>0.05</v>
      </c>
      <c r="F26" s="118">
        <f>+E26*V26</f>
        <v>3.4375000000000003E-2</v>
      </c>
      <c r="G26" s="123"/>
      <c r="H26" s="119">
        <f>+E26*W26</f>
        <v>9.4069010416666689E-3</v>
      </c>
      <c r="I26" s="121">
        <f>+(I27+I33)/2</f>
        <v>0.15714285714285714</v>
      </c>
      <c r="J26" s="121">
        <f>+(J27+J33)/2</f>
        <v>0.12238095238095237</v>
      </c>
      <c r="K26" s="122">
        <f>+(K27+K33)/2</f>
        <v>0.24285714285714285</v>
      </c>
      <c r="L26" s="122">
        <f>+(L27+L33)/2</f>
        <v>0.20867857142857144</v>
      </c>
      <c r="M26" s="123"/>
      <c r="N26" s="123"/>
      <c r="O26" s="123"/>
      <c r="P26" s="123"/>
      <c r="Q26" s="123"/>
      <c r="R26" s="123"/>
      <c r="S26" s="123"/>
      <c r="T26" s="121">
        <f>+(T27+T33)/2</f>
        <v>1</v>
      </c>
      <c r="U26" s="121">
        <f>+(U27+U33)/2</f>
        <v>0.66569010416666663</v>
      </c>
      <c r="V26" s="122">
        <f>+V27+V33</f>
        <v>0.6875</v>
      </c>
      <c r="W26" s="122">
        <f>+W27+W33</f>
        <v>0.18813802083333336</v>
      </c>
      <c r="X26" s="121">
        <f>(X27+X33)/2</f>
        <v>0.16672619047619047</v>
      </c>
      <c r="Y26" s="121">
        <f>(Y27+Y33)/2</f>
        <v>0.29979196428571431</v>
      </c>
      <c r="Z26" s="187">
        <f>+Z27+Z33</f>
        <v>0.31105357142857143</v>
      </c>
      <c r="AA26" s="187">
        <f>+AA27*E27+AA33*E33</f>
        <v>0.38297767857142861</v>
      </c>
    </row>
    <row r="27" spans="1:27" ht="86.25" customHeight="1" thickBot="1" x14ac:dyDescent="0.4">
      <c r="A27" s="110"/>
      <c r="B27" s="970" t="s">
        <v>1654</v>
      </c>
      <c r="C27" s="981"/>
      <c r="D27" s="198"/>
      <c r="E27" s="199">
        <v>0.75</v>
      </c>
      <c r="F27" s="193"/>
      <c r="G27" s="123"/>
      <c r="H27" s="123"/>
      <c r="I27" s="129">
        <f>+AVERAGE(I28:I32)*0.2</f>
        <v>0.1</v>
      </c>
      <c r="J27" s="129">
        <f>+AVERAGE(J28:J32)*0.2</f>
        <v>6.9999999999999993E-2</v>
      </c>
      <c r="K27" s="129">
        <f>+K28+K29+K30+K31+K32</f>
        <v>0.375</v>
      </c>
      <c r="L27" s="129">
        <f>+L28+L29+L30+L31+L32</f>
        <v>0.28749999999999998</v>
      </c>
      <c r="M27" s="128"/>
      <c r="N27" s="128"/>
      <c r="O27" s="128"/>
      <c r="P27" s="128"/>
      <c r="Q27" s="128"/>
      <c r="R27" s="128"/>
      <c r="S27" s="128"/>
      <c r="T27" s="150">
        <f>+AVERAGE(T28:T32)</f>
        <v>1</v>
      </c>
      <c r="U27" s="150">
        <f>+AVERAGE(U28:U32)</f>
        <v>0.375</v>
      </c>
      <c r="V27" s="150">
        <f>+(V28+V29+V30+V31+V32)*E27</f>
        <v>0.5625</v>
      </c>
      <c r="W27" s="150">
        <f>+(W28+W29+W30+W31+W32)*E27</f>
        <v>6.7500000000000018E-2</v>
      </c>
      <c r="X27" s="129">
        <f>+AVERAGE(X28:X32)*0.2</f>
        <v>0.1</v>
      </c>
      <c r="Y27" s="129">
        <f>+AVERAGE(Y28:Y32)</f>
        <v>0.25</v>
      </c>
      <c r="Z27" s="189">
        <f>+(Z28+Z29+Z30+Z31+Z32)*E27</f>
        <v>0.28125</v>
      </c>
      <c r="AA27" s="189">
        <f>+(AA28+AA29+AA30+AA31+AA32)</f>
        <v>0.42000000000000004</v>
      </c>
    </row>
    <row r="28" spans="1:27" ht="94.95" customHeight="1" thickBot="1" x14ac:dyDescent="0.4">
      <c r="A28" s="110"/>
      <c r="B28" s="133" t="s">
        <v>821</v>
      </c>
      <c r="C28" s="190" t="s">
        <v>1281</v>
      </c>
      <c r="D28" s="191" t="s">
        <v>560</v>
      </c>
      <c r="E28" s="195">
        <v>0.1</v>
      </c>
      <c r="F28" s="193">
        <v>1</v>
      </c>
      <c r="G28" s="130">
        <v>0</v>
      </c>
      <c r="H28" s="130">
        <v>0.5</v>
      </c>
      <c r="I28" s="136"/>
      <c r="J28" s="136">
        <f t="shared" ref="J28:J32" si="20">+H28/F28</f>
        <v>0.5</v>
      </c>
      <c r="K28" s="136"/>
      <c r="L28" s="136">
        <f t="shared" ref="L28:L32" si="21">+(H28/F28)*E28</f>
        <v>0.05</v>
      </c>
      <c r="M28" s="130"/>
      <c r="N28" s="550">
        <v>0</v>
      </c>
      <c r="O28" s="550">
        <v>0.1</v>
      </c>
      <c r="P28" s="550">
        <v>0.05</v>
      </c>
      <c r="Q28" s="130"/>
      <c r="R28" s="130">
        <f t="shared" ref="R28:R32" si="22">+N28+O28+P28+Q28</f>
        <v>0.15000000000000002</v>
      </c>
      <c r="S28" s="130">
        <f t="shared" ref="S28:S32" si="23">+R28+M28</f>
        <v>0.15000000000000002</v>
      </c>
      <c r="T28" s="138"/>
      <c r="U28" s="138">
        <f t="shared" ref="U28:U34" si="24">+R28/H28</f>
        <v>0.30000000000000004</v>
      </c>
      <c r="V28" s="138"/>
      <c r="W28" s="138">
        <f t="shared" ref="W28:W36" si="25">+U28*E28</f>
        <v>3.0000000000000006E-2</v>
      </c>
      <c r="X28" s="138"/>
      <c r="Y28" s="219">
        <f t="shared" ref="Y28:Y30" si="26">+S28/F28</f>
        <v>0.15000000000000002</v>
      </c>
      <c r="Z28" s="219">
        <v>0</v>
      </c>
      <c r="AA28" s="219">
        <f t="shared" ref="AA28:AA32" si="27">+Y28*E28</f>
        <v>1.5000000000000003E-2</v>
      </c>
    </row>
    <row r="29" spans="1:27" ht="105.6" customHeight="1" thickBot="1" x14ac:dyDescent="0.4">
      <c r="A29" s="110"/>
      <c r="B29" s="133" t="s">
        <v>822</v>
      </c>
      <c r="C29" s="190" t="s">
        <v>1282</v>
      </c>
      <c r="D29" s="191" t="s">
        <v>560</v>
      </c>
      <c r="E29" s="195">
        <v>0.05</v>
      </c>
      <c r="F29" s="193">
        <v>2</v>
      </c>
      <c r="G29" s="130">
        <v>0</v>
      </c>
      <c r="H29" s="130">
        <v>1</v>
      </c>
      <c r="I29" s="136"/>
      <c r="J29" s="136">
        <f t="shared" si="20"/>
        <v>0.5</v>
      </c>
      <c r="K29" s="136"/>
      <c r="L29" s="136">
        <f t="shared" si="21"/>
        <v>2.5000000000000001E-2</v>
      </c>
      <c r="M29" s="130"/>
      <c r="N29" s="550">
        <v>0</v>
      </c>
      <c r="O29" s="550">
        <v>1</v>
      </c>
      <c r="P29" s="550">
        <v>0</v>
      </c>
      <c r="Q29" s="130"/>
      <c r="R29" s="130">
        <f t="shared" si="22"/>
        <v>1</v>
      </c>
      <c r="S29" s="130">
        <f t="shared" si="23"/>
        <v>1</v>
      </c>
      <c r="T29" s="138"/>
      <c r="U29" s="138">
        <f t="shared" si="24"/>
        <v>1</v>
      </c>
      <c r="V29" s="138"/>
      <c r="W29" s="138">
        <f t="shared" si="25"/>
        <v>0.05</v>
      </c>
      <c r="X29" s="138"/>
      <c r="Y29" s="219">
        <f t="shared" si="26"/>
        <v>0.5</v>
      </c>
      <c r="Z29" s="219">
        <v>0</v>
      </c>
      <c r="AA29" s="219">
        <f t="shared" si="27"/>
        <v>2.5000000000000001E-2</v>
      </c>
    </row>
    <row r="30" spans="1:27" ht="81.599999999999994" customHeight="1" thickBot="1" x14ac:dyDescent="0.4">
      <c r="A30" s="110"/>
      <c r="B30" s="133" t="s">
        <v>823</v>
      </c>
      <c r="C30" s="190" t="s">
        <v>1283</v>
      </c>
      <c r="D30" s="191" t="s">
        <v>560</v>
      </c>
      <c r="E30" s="195">
        <v>0.05</v>
      </c>
      <c r="F30" s="193">
        <v>1</v>
      </c>
      <c r="G30" s="130">
        <v>0</v>
      </c>
      <c r="H30" s="130">
        <v>0.5</v>
      </c>
      <c r="I30" s="136"/>
      <c r="J30" s="136">
        <f t="shared" si="20"/>
        <v>0.5</v>
      </c>
      <c r="K30" s="136"/>
      <c r="L30" s="136">
        <f t="shared" si="21"/>
        <v>2.5000000000000001E-2</v>
      </c>
      <c r="M30" s="130"/>
      <c r="N30" s="550">
        <v>0</v>
      </c>
      <c r="O30" s="550">
        <v>0.1</v>
      </c>
      <c r="P30" s="550">
        <v>0</v>
      </c>
      <c r="Q30" s="130"/>
      <c r="R30" s="130">
        <f t="shared" si="22"/>
        <v>0.1</v>
      </c>
      <c r="S30" s="130">
        <f t="shared" si="23"/>
        <v>0.1</v>
      </c>
      <c r="T30" s="138"/>
      <c r="U30" s="138">
        <f t="shared" si="24"/>
        <v>0.2</v>
      </c>
      <c r="V30" s="138"/>
      <c r="W30" s="138">
        <f t="shared" si="25"/>
        <v>1.0000000000000002E-2</v>
      </c>
      <c r="X30" s="138"/>
      <c r="Y30" s="219">
        <f t="shared" si="26"/>
        <v>0.1</v>
      </c>
      <c r="Z30" s="219">
        <v>0</v>
      </c>
      <c r="AA30" s="219">
        <f t="shared" si="27"/>
        <v>5.000000000000001E-3</v>
      </c>
    </row>
    <row r="31" spans="1:27" ht="92.4" customHeight="1" thickBot="1" x14ac:dyDescent="0.4">
      <c r="A31" s="110"/>
      <c r="B31" s="133" t="s">
        <v>824</v>
      </c>
      <c r="C31" s="190" t="s">
        <v>1284</v>
      </c>
      <c r="D31" s="191" t="s">
        <v>825</v>
      </c>
      <c r="E31" s="195">
        <v>0.75</v>
      </c>
      <c r="F31" s="193">
        <v>8</v>
      </c>
      <c r="G31" s="130">
        <v>4</v>
      </c>
      <c r="H31" s="130">
        <v>2</v>
      </c>
      <c r="I31" s="136">
        <f>+G31/F31</f>
        <v>0.5</v>
      </c>
      <c r="J31" s="136">
        <f t="shared" si="20"/>
        <v>0.25</v>
      </c>
      <c r="K31" s="136">
        <f>+(G31/F31)*E31</f>
        <v>0.375</v>
      </c>
      <c r="L31" s="136">
        <f t="shared" si="21"/>
        <v>0.1875</v>
      </c>
      <c r="M31" s="130">
        <v>4</v>
      </c>
      <c r="N31" s="550">
        <v>0</v>
      </c>
      <c r="O31" s="550">
        <v>0</v>
      </c>
      <c r="P31" s="550">
        <v>0</v>
      </c>
      <c r="Q31" s="130"/>
      <c r="R31" s="130">
        <f t="shared" si="22"/>
        <v>0</v>
      </c>
      <c r="S31" s="130">
        <f t="shared" si="23"/>
        <v>4</v>
      </c>
      <c r="T31" s="138">
        <v>1</v>
      </c>
      <c r="U31" s="138">
        <f t="shared" si="24"/>
        <v>0</v>
      </c>
      <c r="V31" s="138">
        <f>+T31*E31</f>
        <v>0.75</v>
      </c>
      <c r="W31" s="138">
        <f t="shared" si="25"/>
        <v>0</v>
      </c>
      <c r="X31" s="138">
        <f>+M31/F31</f>
        <v>0.5</v>
      </c>
      <c r="Y31" s="219">
        <f t="shared" ref="Y31:Y34" si="28">+S31/F31</f>
        <v>0.5</v>
      </c>
      <c r="Z31" s="219">
        <f>+X31*E31</f>
        <v>0.375</v>
      </c>
      <c r="AA31" s="219">
        <f t="shared" si="27"/>
        <v>0.375</v>
      </c>
    </row>
    <row r="32" spans="1:27" ht="97.95" customHeight="1" thickBot="1" x14ac:dyDescent="0.4">
      <c r="A32" s="110"/>
      <c r="B32" s="800" t="s">
        <v>826</v>
      </c>
      <c r="C32" s="801" t="s">
        <v>1285</v>
      </c>
      <c r="D32" s="191" t="s">
        <v>560</v>
      </c>
      <c r="E32" s="195">
        <v>0.05</v>
      </c>
      <c r="F32" s="193">
        <v>1</v>
      </c>
      <c r="G32" s="130">
        <v>0</v>
      </c>
      <c r="H32" s="130">
        <v>0</v>
      </c>
      <c r="I32" s="136"/>
      <c r="J32" s="136">
        <f t="shared" si="20"/>
        <v>0</v>
      </c>
      <c r="K32" s="136"/>
      <c r="L32" s="136">
        <f t="shared" si="21"/>
        <v>0</v>
      </c>
      <c r="M32" s="130"/>
      <c r="N32" s="550"/>
      <c r="O32" s="130"/>
      <c r="P32" s="130"/>
      <c r="Q32" s="130"/>
      <c r="R32" s="130">
        <f t="shared" si="22"/>
        <v>0</v>
      </c>
      <c r="S32" s="130">
        <f t="shared" si="23"/>
        <v>0</v>
      </c>
      <c r="T32" s="138"/>
      <c r="U32" s="138"/>
      <c r="V32" s="138"/>
      <c r="W32" s="138"/>
      <c r="X32" s="138"/>
      <c r="Y32" s="219">
        <v>0</v>
      </c>
      <c r="Z32" s="219">
        <v>0</v>
      </c>
      <c r="AA32" s="219">
        <f t="shared" si="27"/>
        <v>0</v>
      </c>
    </row>
    <row r="33" spans="1:27" ht="70.95" customHeight="1" thickBot="1" x14ac:dyDescent="0.4">
      <c r="A33" s="110"/>
      <c r="B33" s="970" t="s">
        <v>1655</v>
      </c>
      <c r="C33" s="981"/>
      <c r="D33" s="198"/>
      <c r="E33" s="199">
        <v>0.25</v>
      </c>
      <c r="F33" s="193"/>
      <c r="G33" s="123"/>
      <c r="H33" s="123"/>
      <c r="I33" s="129">
        <f>+AVERAGE(I34:I36)</f>
        <v>0.2142857142857143</v>
      </c>
      <c r="J33" s="129">
        <f>+AVERAGE(J34:J36)</f>
        <v>0.17476190476190476</v>
      </c>
      <c r="K33" s="129">
        <f>+K34+K35+K36</f>
        <v>0.11071428571428571</v>
      </c>
      <c r="L33" s="129">
        <f>+L34+L35+L36</f>
        <v>0.12985714285714287</v>
      </c>
      <c r="M33" s="128"/>
      <c r="N33" s="128"/>
      <c r="O33" s="128"/>
      <c r="P33" s="128"/>
      <c r="Q33" s="128"/>
      <c r="R33" s="128"/>
      <c r="S33" s="128"/>
      <c r="T33" s="150">
        <f>+AVERAGE(T34:T36)</f>
        <v>1</v>
      </c>
      <c r="U33" s="150">
        <f>+AVERAGE(U34:U36)</f>
        <v>0.95638020833333326</v>
      </c>
      <c r="V33" s="150">
        <f>+(V34+V35+V36)*E33</f>
        <v>0.125</v>
      </c>
      <c r="W33" s="150">
        <f>+(W34+W35+W36)*E33</f>
        <v>0.12063802083333333</v>
      </c>
      <c r="X33" s="129">
        <f>+AVERAGE(X34:X36)</f>
        <v>0.23345238095238097</v>
      </c>
      <c r="Y33" s="129">
        <f>+(Y34*0.33)+(Y36*0.33)</f>
        <v>0.34958392857142861</v>
      </c>
      <c r="Z33" s="189">
        <f>+(Z34+Z35+Z36)*E33</f>
        <v>2.9803571428571429E-2</v>
      </c>
      <c r="AA33" s="189">
        <f>+(AA34+AA35+AA36)</f>
        <v>0.27191071428571428</v>
      </c>
    </row>
    <row r="34" spans="1:27" ht="87.6" customHeight="1" thickBot="1" x14ac:dyDescent="0.4">
      <c r="A34" s="110"/>
      <c r="B34" s="140" t="s">
        <v>827</v>
      </c>
      <c r="C34" s="202" t="s">
        <v>1286</v>
      </c>
      <c r="D34" s="191" t="s">
        <v>560</v>
      </c>
      <c r="E34" s="195">
        <v>0.2</v>
      </c>
      <c r="F34" s="193">
        <v>2800</v>
      </c>
      <c r="G34" s="130">
        <v>500</v>
      </c>
      <c r="H34" s="130">
        <v>768</v>
      </c>
      <c r="I34" s="136">
        <f>+G34/F34</f>
        <v>0.17857142857142858</v>
      </c>
      <c r="J34" s="136">
        <f t="shared" ref="J34:J36" si="29">+H34/F34</f>
        <v>0.2742857142857143</v>
      </c>
      <c r="K34" s="136">
        <f>+(G34/F34)*E34</f>
        <v>3.5714285714285719E-2</v>
      </c>
      <c r="L34" s="136">
        <f t="shared" ref="L34:L36" si="30">+(H34/F34)*E34</f>
        <v>5.4857142857142861E-2</v>
      </c>
      <c r="M34" s="203">
        <v>584</v>
      </c>
      <c r="N34" s="550">
        <v>67</v>
      </c>
      <c r="O34" s="550">
        <v>318</v>
      </c>
      <c r="P34" s="550">
        <v>316</v>
      </c>
      <c r="Q34" s="203"/>
      <c r="R34" s="203">
        <f t="shared" ref="R34:R36" si="31">+N34+O34+P34+Q34</f>
        <v>701</v>
      </c>
      <c r="S34" s="203">
        <f t="shared" ref="S34:S35" si="32">+R34+M34</f>
        <v>1285</v>
      </c>
      <c r="T34" s="152">
        <v>1</v>
      </c>
      <c r="U34" s="152">
        <f t="shared" si="24"/>
        <v>0.91276041666666663</v>
      </c>
      <c r="V34" s="152">
        <f>+T34*E34</f>
        <v>0.2</v>
      </c>
      <c r="W34" s="152">
        <f t="shared" si="25"/>
        <v>0.18255208333333334</v>
      </c>
      <c r="X34" s="152">
        <f>+M34/F34</f>
        <v>0.20857142857142857</v>
      </c>
      <c r="Y34" s="197">
        <f t="shared" si="28"/>
        <v>0.45892857142857141</v>
      </c>
      <c r="Z34" s="197">
        <f>+X34*E34</f>
        <v>4.1714285714285718E-2</v>
      </c>
      <c r="AA34" s="197">
        <f>+Y34*E34</f>
        <v>9.178571428571429E-2</v>
      </c>
    </row>
    <row r="35" spans="1:27" ht="98.4" customHeight="1" thickBot="1" x14ac:dyDescent="0.4">
      <c r="A35" s="110"/>
      <c r="B35" s="133" t="s">
        <v>828</v>
      </c>
      <c r="C35" s="190" t="s">
        <v>1287</v>
      </c>
      <c r="D35" s="191" t="s">
        <v>560</v>
      </c>
      <c r="E35" s="195">
        <v>0.5</v>
      </c>
      <c r="F35" s="193">
        <v>6</v>
      </c>
      <c r="G35" s="130">
        <v>0</v>
      </c>
      <c r="H35" s="130">
        <v>0</v>
      </c>
      <c r="I35" s="136"/>
      <c r="J35" s="136">
        <f t="shared" si="29"/>
        <v>0</v>
      </c>
      <c r="K35" s="136"/>
      <c r="L35" s="136">
        <f t="shared" si="30"/>
        <v>0</v>
      </c>
      <c r="M35" s="130"/>
      <c r="N35" s="550">
        <v>0</v>
      </c>
      <c r="O35" s="550"/>
      <c r="P35" s="550"/>
      <c r="Q35" s="130"/>
      <c r="R35" s="130">
        <f t="shared" si="31"/>
        <v>0</v>
      </c>
      <c r="S35" s="130">
        <f t="shared" si="32"/>
        <v>0</v>
      </c>
      <c r="T35" s="152"/>
      <c r="U35" s="152"/>
      <c r="V35" s="152"/>
      <c r="W35" s="152">
        <f t="shared" si="25"/>
        <v>0</v>
      </c>
      <c r="X35" s="152"/>
      <c r="Y35" s="197"/>
      <c r="Z35" s="197">
        <v>0</v>
      </c>
      <c r="AA35" s="197">
        <f t="shared" ref="AA35:AA36" si="33">+Y35*E35</f>
        <v>0</v>
      </c>
    </row>
    <row r="36" spans="1:27" ht="75" customHeight="1" thickBot="1" x14ac:dyDescent="0.4">
      <c r="A36" s="110"/>
      <c r="B36" s="133" t="s">
        <v>829</v>
      </c>
      <c r="C36" s="190" t="s">
        <v>1288</v>
      </c>
      <c r="D36" s="191" t="s">
        <v>560</v>
      </c>
      <c r="E36" s="195">
        <v>0.3</v>
      </c>
      <c r="F36" s="193">
        <v>2400</v>
      </c>
      <c r="G36" s="130">
        <v>600</v>
      </c>
      <c r="H36" s="130">
        <v>600</v>
      </c>
      <c r="I36" s="136">
        <f>+G36/F36</f>
        <v>0.25</v>
      </c>
      <c r="J36" s="136">
        <f t="shared" si="29"/>
        <v>0.25</v>
      </c>
      <c r="K36" s="136">
        <f>+(G36/F36)*E36</f>
        <v>7.4999999999999997E-2</v>
      </c>
      <c r="L36" s="136">
        <f t="shared" si="30"/>
        <v>7.4999999999999997E-2</v>
      </c>
      <c r="M36" s="203">
        <v>620</v>
      </c>
      <c r="N36" s="550">
        <v>270</v>
      </c>
      <c r="O36" s="550">
        <v>97</v>
      </c>
      <c r="P36" s="203">
        <v>454</v>
      </c>
      <c r="Q36" s="203"/>
      <c r="R36" s="203">
        <f t="shared" si="31"/>
        <v>821</v>
      </c>
      <c r="S36" s="203">
        <f>+R36+M36</f>
        <v>1441</v>
      </c>
      <c r="T36" s="152">
        <v>1</v>
      </c>
      <c r="U36" s="152">
        <v>1</v>
      </c>
      <c r="V36" s="152">
        <f>+T36*E36</f>
        <v>0.3</v>
      </c>
      <c r="W36" s="152">
        <f t="shared" si="25"/>
        <v>0.3</v>
      </c>
      <c r="X36" s="152">
        <f>+M36/F36</f>
        <v>0.25833333333333336</v>
      </c>
      <c r="Y36" s="197">
        <f>+S36/F36</f>
        <v>0.60041666666666671</v>
      </c>
      <c r="Z36" s="197">
        <f>+X36*E36</f>
        <v>7.7499999999999999E-2</v>
      </c>
      <c r="AA36" s="197">
        <f t="shared" si="33"/>
        <v>0.18012500000000001</v>
      </c>
    </row>
    <row r="37" spans="1:27" ht="61.2" customHeight="1" thickBot="1" x14ac:dyDescent="0.4">
      <c r="A37" s="110"/>
      <c r="B37" s="976" t="s">
        <v>1734</v>
      </c>
      <c r="C37" s="981"/>
      <c r="D37" s="198"/>
      <c r="E37" s="201">
        <v>0.15</v>
      </c>
      <c r="F37" s="118">
        <f>+E37*V37</f>
        <v>6.8925749999999994E-2</v>
      </c>
      <c r="G37" s="123"/>
      <c r="H37" s="119">
        <f>+E37*W37</f>
        <v>6.0273539361702134E-2</v>
      </c>
      <c r="I37" s="121">
        <f>+(I38+I46+I50+I53+I57)/5</f>
        <v>0.17888888888888888</v>
      </c>
      <c r="J37" s="121">
        <f>+(J38+J46+J50+J53+J57)/5</f>
        <v>0.28607638888888887</v>
      </c>
      <c r="K37" s="122">
        <f>+(K38+K46+K50+K53+K57)/5</f>
        <v>0.13083333333333333</v>
      </c>
      <c r="L37" s="122">
        <f>+(L38+L46+L50+L53+L57)/5</f>
        <v>0.2434166666666667</v>
      </c>
      <c r="M37" s="123"/>
      <c r="N37" s="123"/>
      <c r="O37" s="123"/>
      <c r="P37" s="123"/>
      <c r="Q37" s="123"/>
      <c r="R37" s="123"/>
      <c r="S37" s="123"/>
      <c r="T37" s="121">
        <f>+(T38+T46+T50+T53+T57)/5</f>
        <v>0.75614000000000003</v>
      </c>
      <c r="U37" s="121">
        <f>+(U38+U46+U50+U53+U57)/5</f>
        <v>0.59434992907801421</v>
      </c>
      <c r="V37" s="122">
        <f>+V38+V46+V50+V53+V57</f>
        <v>0.45950499999999994</v>
      </c>
      <c r="W37" s="122">
        <f>+W38+W46+W50+W53+W57</f>
        <v>0.40182359574468091</v>
      </c>
      <c r="X37" s="186">
        <f>(X38+X46+X50+X53+X57)/5</f>
        <v>0.13760416666666669</v>
      </c>
      <c r="Y37" s="186">
        <f>(Y38+Y46+Y50+Y53+Y57)/5</f>
        <v>0.36536920529100525</v>
      </c>
      <c r="Z37" s="187">
        <f>+(Z38+Z46+Z50+Z53+Z57)</f>
        <v>8.7734791666666673E-2</v>
      </c>
      <c r="AA37" s="187">
        <f>+(AA38*E38+AA46*E46+AA50*E50+AA53*E53+AA57*E57)</f>
        <v>0.26898130833333334</v>
      </c>
    </row>
    <row r="38" spans="1:27" ht="42.75" customHeight="1" thickBot="1" x14ac:dyDescent="0.4">
      <c r="A38" s="110"/>
      <c r="B38" s="970" t="s">
        <v>1656</v>
      </c>
      <c r="C38" s="981"/>
      <c r="D38" s="198"/>
      <c r="E38" s="199">
        <v>0.25</v>
      </c>
      <c r="F38" s="193"/>
      <c r="G38" s="123"/>
      <c r="H38" s="123"/>
      <c r="I38" s="129">
        <f>+AVERAGE(I39:I45)</f>
        <v>0.23611111111111108</v>
      </c>
      <c r="J38" s="129">
        <f>+AVERAGE(J39:J45)</f>
        <v>0.30260416666666662</v>
      </c>
      <c r="K38" s="129">
        <f>+K39+K40+K41+K42+K43+K44+K45</f>
        <v>6.5833333333333327E-2</v>
      </c>
      <c r="L38" s="129">
        <f>+L39+L40+L41+L42+L43+L44+L45</f>
        <v>8.9583333333333334E-2</v>
      </c>
      <c r="M38" s="128"/>
      <c r="N38" s="128"/>
      <c r="O38" s="128"/>
      <c r="P38" s="128"/>
      <c r="Q38" s="128"/>
      <c r="R38" s="128"/>
      <c r="S38" s="128"/>
      <c r="T38" s="150">
        <f>+AVERAGE(T39:T45)</f>
        <v>0.66469999999999996</v>
      </c>
      <c r="U38" s="150">
        <f>+AVERAGE(U39:U45)</f>
        <v>0.39454964539007092</v>
      </c>
      <c r="V38" s="150">
        <f>+(V39+V40+V41+V42+V43+V44+V45)*E38</f>
        <v>5.7204999999999999E-2</v>
      </c>
      <c r="W38" s="150">
        <f>+(W39+W40+W41+W42+W43+W44+W45)*E38</f>
        <v>1.870159574468085E-2</v>
      </c>
      <c r="X38" s="129">
        <f>+AVERAGE(X39:X45)</f>
        <v>0.12475416666666667</v>
      </c>
      <c r="Y38" s="129">
        <f>+X38+((Y39-X39)/7)+((Y40-X40)/9)+((Y45-X45)/9)+((Y41-X41)/9)</f>
        <v>0.21898141534391535</v>
      </c>
      <c r="Z38" s="189">
        <f>+(Z39+Z40+Z41+Z42+Z43+Z44+Z45)*E38</f>
        <v>8.0881249999999998E-3</v>
      </c>
      <c r="AA38" s="189">
        <f>+(AA39+AA40+AA41+AA42+AA43+AA44+AA45)</f>
        <v>8.8300833333333328E-2</v>
      </c>
    </row>
    <row r="39" spans="1:27" ht="88.2" customHeight="1" thickBot="1" x14ac:dyDescent="0.4">
      <c r="A39" s="110"/>
      <c r="B39" s="133" t="s">
        <v>830</v>
      </c>
      <c r="C39" s="190" t="s">
        <v>1289</v>
      </c>
      <c r="D39" s="191" t="s">
        <v>767</v>
      </c>
      <c r="E39" s="195">
        <v>0.03</v>
      </c>
      <c r="F39" s="193">
        <f>12*4</f>
        <v>48</v>
      </c>
      <c r="G39" s="130">
        <v>12</v>
      </c>
      <c r="H39" s="130">
        <v>12</v>
      </c>
      <c r="I39" s="136">
        <f t="shared" ref="I39:I45" si="34">+G39/F39</f>
        <v>0.25</v>
      </c>
      <c r="J39" s="136">
        <f t="shared" ref="J39:J43" si="35">+H39/F39</f>
        <v>0.25</v>
      </c>
      <c r="K39" s="136">
        <f t="shared" ref="K39:K45" si="36">+(G39/F39)*E39</f>
        <v>7.4999999999999997E-3</v>
      </c>
      <c r="L39" s="136">
        <f t="shared" ref="L39:L43" si="37">+(H39/F39)*E39</f>
        <v>7.4999999999999997E-3</v>
      </c>
      <c r="M39" s="130">
        <v>12</v>
      </c>
      <c r="N39" s="550">
        <v>0</v>
      </c>
      <c r="O39" s="550">
        <v>3</v>
      </c>
      <c r="P39" s="550">
        <v>2</v>
      </c>
      <c r="Q39" s="130"/>
      <c r="R39" s="130">
        <f t="shared" ref="R39:R45" si="38">+N39+O39+P39+Q39</f>
        <v>5</v>
      </c>
      <c r="S39" s="130">
        <f t="shared" ref="S39:S45" si="39">+R39+M39</f>
        <v>17</v>
      </c>
      <c r="T39" s="136">
        <f t="shared" ref="T39:T45" si="40">+(M39/G39)</f>
        <v>1</v>
      </c>
      <c r="U39" s="152">
        <f t="shared" ref="U39:U43" si="41">+R39/H39</f>
        <v>0.41666666666666669</v>
      </c>
      <c r="V39" s="152">
        <f t="shared" ref="V39:V45" si="42">+T39*E39</f>
        <v>0.03</v>
      </c>
      <c r="W39" s="152">
        <f t="shared" ref="W39:W41" si="43">+U39*E39</f>
        <v>1.2500000000000001E-2</v>
      </c>
      <c r="X39" s="152">
        <f t="shared" ref="X39:X45" si="44">+M39/F39</f>
        <v>0.25</v>
      </c>
      <c r="Y39" s="197">
        <f t="shared" ref="Y39:Y59" si="45">+S39/F39</f>
        <v>0.35416666666666669</v>
      </c>
      <c r="Z39" s="197">
        <f>+X39*E39</f>
        <v>7.4999999999999997E-3</v>
      </c>
      <c r="AA39" s="197">
        <f>+Y39*E39</f>
        <v>1.0625000000000001E-2</v>
      </c>
    </row>
    <row r="40" spans="1:27" ht="77.400000000000006" customHeight="1" thickBot="1" x14ac:dyDescent="0.4">
      <c r="A40" s="110"/>
      <c r="B40" s="140" t="s">
        <v>831</v>
      </c>
      <c r="C40" s="202" t="s">
        <v>1290</v>
      </c>
      <c r="D40" s="191" t="s">
        <v>767</v>
      </c>
      <c r="E40" s="195">
        <v>0.2</v>
      </c>
      <c r="F40" s="193">
        <v>80000</v>
      </c>
      <c r="G40" s="130">
        <v>10000</v>
      </c>
      <c r="H40" s="130">
        <v>23500</v>
      </c>
      <c r="I40" s="136">
        <f t="shared" si="34"/>
        <v>0.125</v>
      </c>
      <c r="J40" s="136">
        <f t="shared" si="35"/>
        <v>0.29375000000000001</v>
      </c>
      <c r="K40" s="136">
        <f t="shared" si="36"/>
        <v>2.5000000000000001E-2</v>
      </c>
      <c r="L40" s="136">
        <f t="shared" si="37"/>
        <v>5.8750000000000004E-2</v>
      </c>
      <c r="M40" s="130">
        <v>9941</v>
      </c>
      <c r="N40" s="550">
        <v>395</v>
      </c>
      <c r="O40" s="550">
        <v>2208</v>
      </c>
      <c r="P40" s="550">
        <v>1193</v>
      </c>
      <c r="Q40" s="130"/>
      <c r="R40" s="130">
        <f t="shared" si="38"/>
        <v>3796</v>
      </c>
      <c r="S40" s="130">
        <f t="shared" si="39"/>
        <v>13737</v>
      </c>
      <c r="T40" s="136">
        <f t="shared" si="40"/>
        <v>0.99409999999999998</v>
      </c>
      <c r="U40" s="152">
        <f t="shared" si="41"/>
        <v>0.16153191489361701</v>
      </c>
      <c r="V40" s="152">
        <f t="shared" si="42"/>
        <v>0.19882</v>
      </c>
      <c r="W40" s="152">
        <f t="shared" si="43"/>
        <v>3.2306382978723402E-2</v>
      </c>
      <c r="X40" s="152">
        <f t="shared" si="44"/>
        <v>0.1242625</v>
      </c>
      <c r="Y40" s="197">
        <f t="shared" si="45"/>
        <v>0.17171249999999999</v>
      </c>
      <c r="Z40" s="197">
        <f>+X40*E40</f>
        <v>2.48525E-2</v>
      </c>
      <c r="AA40" s="197">
        <f>+Y40*E40</f>
        <v>3.4342499999999998E-2</v>
      </c>
    </row>
    <row r="41" spans="1:27" ht="81" customHeight="1" thickBot="1" x14ac:dyDescent="0.4">
      <c r="A41" s="110"/>
      <c r="B41" s="133" t="s">
        <v>832</v>
      </c>
      <c r="C41" s="190" t="s">
        <v>1291</v>
      </c>
      <c r="D41" s="191" t="s">
        <v>767</v>
      </c>
      <c r="E41" s="195">
        <v>0.03</v>
      </c>
      <c r="F41" s="193">
        <v>3</v>
      </c>
      <c r="G41" s="130">
        <v>0</v>
      </c>
      <c r="H41" s="130">
        <v>1</v>
      </c>
      <c r="I41" s="136"/>
      <c r="J41" s="136">
        <f t="shared" si="35"/>
        <v>0.33333333333333331</v>
      </c>
      <c r="K41" s="136"/>
      <c r="L41" s="136">
        <f t="shared" si="37"/>
        <v>9.9999999999999985E-3</v>
      </c>
      <c r="M41" s="130"/>
      <c r="N41" s="550">
        <v>0</v>
      </c>
      <c r="O41" s="550">
        <v>1</v>
      </c>
      <c r="P41" s="550">
        <v>0</v>
      </c>
      <c r="Q41" s="130"/>
      <c r="R41" s="130">
        <f t="shared" si="38"/>
        <v>1</v>
      </c>
      <c r="S41" s="130">
        <f t="shared" si="39"/>
        <v>1</v>
      </c>
      <c r="T41" s="136"/>
      <c r="U41" s="152">
        <f t="shared" si="41"/>
        <v>1</v>
      </c>
      <c r="V41" s="152"/>
      <c r="W41" s="152">
        <f t="shared" si="43"/>
        <v>0.03</v>
      </c>
      <c r="X41" s="152"/>
      <c r="Y41" s="197">
        <f t="shared" si="45"/>
        <v>0.33333333333333331</v>
      </c>
      <c r="Z41" s="197"/>
      <c r="AA41" s="197">
        <f t="shared" ref="AA41:AA44" si="46">+Y41*E41</f>
        <v>9.9999999999999985E-3</v>
      </c>
    </row>
    <row r="42" spans="1:27" ht="89.4" customHeight="1" thickBot="1" x14ac:dyDescent="0.4">
      <c r="A42" s="110"/>
      <c r="B42" s="133" t="s">
        <v>833</v>
      </c>
      <c r="C42" s="190" t="s">
        <v>1292</v>
      </c>
      <c r="D42" s="191" t="s">
        <v>767</v>
      </c>
      <c r="E42" s="195">
        <v>0.1</v>
      </c>
      <c r="F42" s="193">
        <v>100000</v>
      </c>
      <c r="G42" s="130">
        <v>0</v>
      </c>
      <c r="H42" s="130">
        <v>0</v>
      </c>
      <c r="I42" s="136"/>
      <c r="J42" s="136"/>
      <c r="K42" s="136"/>
      <c r="L42" s="136"/>
      <c r="M42" s="130"/>
      <c r="N42" s="550"/>
      <c r="O42" s="550"/>
      <c r="P42" s="550">
        <v>0</v>
      </c>
      <c r="Q42" s="130"/>
      <c r="R42" s="130">
        <f t="shared" si="38"/>
        <v>0</v>
      </c>
      <c r="S42" s="130">
        <f t="shared" si="39"/>
        <v>0</v>
      </c>
      <c r="T42" s="136"/>
      <c r="U42" s="152"/>
      <c r="V42" s="152"/>
      <c r="W42" s="152"/>
      <c r="X42" s="152"/>
      <c r="Y42" s="197"/>
      <c r="Z42" s="197"/>
      <c r="AA42" s="197">
        <f t="shared" si="46"/>
        <v>0</v>
      </c>
    </row>
    <row r="43" spans="1:27" ht="96" customHeight="1" thickBot="1" x14ac:dyDescent="0.4">
      <c r="A43" s="110"/>
      <c r="B43" s="133" t="s">
        <v>834</v>
      </c>
      <c r="C43" s="190" t="s">
        <v>1293</v>
      </c>
      <c r="D43" s="191" t="s">
        <v>767</v>
      </c>
      <c r="E43" s="195">
        <v>0.04</v>
      </c>
      <c r="F43" s="193">
        <v>3</v>
      </c>
      <c r="G43" s="130">
        <v>0</v>
      </c>
      <c r="H43" s="130">
        <v>1</v>
      </c>
      <c r="I43" s="136"/>
      <c r="J43" s="136">
        <f t="shared" si="35"/>
        <v>0.33333333333333331</v>
      </c>
      <c r="K43" s="136"/>
      <c r="L43" s="136">
        <f t="shared" si="37"/>
        <v>1.3333333333333332E-2</v>
      </c>
      <c r="M43" s="130"/>
      <c r="N43" s="550">
        <v>0</v>
      </c>
      <c r="O43" s="550">
        <v>0</v>
      </c>
      <c r="P43" s="550">
        <v>0</v>
      </c>
      <c r="Q43" s="130"/>
      <c r="R43" s="130">
        <f t="shared" si="38"/>
        <v>0</v>
      </c>
      <c r="S43" s="130">
        <f t="shared" si="39"/>
        <v>0</v>
      </c>
      <c r="T43" s="136"/>
      <c r="U43" s="152">
        <f t="shared" si="41"/>
        <v>0</v>
      </c>
      <c r="V43" s="152"/>
      <c r="W43" s="152"/>
      <c r="X43" s="152"/>
      <c r="Y43" s="197">
        <v>0</v>
      </c>
      <c r="Z43" s="197"/>
      <c r="AA43" s="197">
        <f t="shared" si="46"/>
        <v>0</v>
      </c>
    </row>
    <row r="44" spans="1:27" ht="72.599999999999994" customHeight="1" thickBot="1" x14ac:dyDescent="0.4">
      <c r="A44" s="110"/>
      <c r="B44" s="133" t="s">
        <v>835</v>
      </c>
      <c r="C44" s="190" t="s">
        <v>1294</v>
      </c>
      <c r="D44" s="191" t="s">
        <v>836</v>
      </c>
      <c r="E44" s="195">
        <v>0.5</v>
      </c>
      <c r="F44" s="193">
        <v>1</v>
      </c>
      <c r="G44" s="130">
        <v>0</v>
      </c>
      <c r="H44" s="130">
        <v>0</v>
      </c>
      <c r="I44" s="136"/>
      <c r="J44" s="136"/>
      <c r="K44" s="136"/>
      <c r="L44" s="136"/>
      <c r="M44" s="130"/>
      <c r="N44" s="550"/>
      <c r="O44" s="550"/>
      <c r="P44" s="550">
        <v>0</v>
      </c>
      <c r="Q44" s="130"/>
      <c r="R44" s="130">
        <f t="shared" si="38"/>
        <v>0</v>
      </c>
      <c r="S44" s="130">
        <f t="shared" si="39"/>
        <v>0</v>
      </c>
      <c r="T44" s="136"/>
      <c r="U44" s="152"/>
      <c r="V44" s="152"/>
      <c r="W44" s="152"/>
      <c r="X44" s="152"/>
      <c r="Y44" s="197"/>
      <c r="Z44" s="197"/>
      <c r="AA44" s="197">
        <f t="shared" si="46"/>
        <v>0</v>
      </c>
    </row>
    <row r="45" spans="1:27" ht="63" customHeight="1" thickBot="1" x14ac:dyDescent="0.4">
      <c r="A45" s="110"/>
      <c r="B45" s="133" t="s">
        <v>837</v>
      </c>
      <c r="C45" s="190" t="s">
        <v>1295</v>
      </c>
      <c r="D45" s="191" t="s">
        <v>838</v>
      </c>
      <c r="E45" s="195">
        <v>0.1</v>
      </c>
      <c r="F45" s="193">
        <v>3</v>
      </c>
      <c r="G45" s="130">
        <v>1</v>
      </c>
      <c r="H45" s="130">
        <v>0</v>
      </c>
      <c r="I45" s="136">
        <f t="shared" si="34"/>
        <v>0.33333333333333331</v>
      </c>
      <c r="J45" s="136"/>
      <c r="K45" s="136">
        <f t="shared" si="36"/>
        <v>3.3333333333333333E-2</v>
      </c>
      <c r="L45" s="136"/>
      <c r="M45" s="130">
        <v>0</v>
      </c>
      <c r="N45" s="550"/>
      <c r="O45" s="550"/>
      <c r="P45" s="550">
        <v>1</v>
      </c>
      <c r="Q45" s="130"/>
      <c r="R45" s="130">
        <f t="shared" si="38"/>
        <v>1</v>
      </c>
      <c r="S45" s="130">
        <f t="shared" si="39"/>
        <v>1</v>
      </c>
      <c r="T45" s="136">
        <f t="shared" si="40"/>
        <v>0</v>
      </c>
      <c r="U45" s="152"/>
      <c r="V45" s="152">
        <f t="shared" si="42"/>
        <v>0</v>
      </c>
      <c r="W45" s="152"/>
      <c r="X45" s="152">
        <f t="shared" si="44"/>
        <v>0</v>
      </c>
      <c r="Y45" s="197">
        <f t="shared" si="45"/>
        <v>0.33333333333333331</v>
      </c>
      <c r="Z45" s="197">
        <f>+X45*E45</f>
        <v>0</v>
      </c>
      <c r="AA45" s="197">
        <f>+Y45*E45</f>
        <v>3.3333333333333333E-2</v>
      </c>
    </row>
    <row r="46" spans="1:27" ht="57" customHeight="1" thickBot="1" x14ac:dyDescent="0.4">
      <c r="A46" s="110"/>
      <c r="B46" s="970" t="s">
        <v>1657</v>
      </c>
      <c r="C46" s="981"/>
      <c r="D46" s="198"/>
      <c r="E46" s="199">
        <v>0.25</v>
      </c>
      <c r="F46" s="193"/>
      <c r="G46" s="123"/>
      <c r="H46" s="123"/>
      <c r="I46" s="129">
        <f>+AVERAGE(I47:I49)</f>
        <v>0.15833333333333333</v>
      </c>
      <c r="J46" s="129">
        <f>+AVERAGE(J47:J49)</f>
        <v>0.33611111111111108</v>
      </c>
      <c r="K46" s="129">
        <f>+K47+K48+K49</f>
        <v>0.15250000000000002</v>
      </c>
      <c r="L46" s="129">
        <f>+L47+L48+L49</f>
        <v>0.34083333333333338</v>
      </c>
      <c r="M46" s="128"/>
      <c r="N46" s="128"/>
      <c r="O46" s="128"/>
      <c r="P46" s="128"/>
      <c r="Q46" s="128"/>
      <c r="R46" s="128"/>
      <c r="S46" s="128"/>
      <c r="T46" s="150">
        <f>+AVERAGE(T47:T49)</f>
        <v>0.61599999999999999</v>
      </c>
      <c r="U46" s="150">
        <f>+AVERAGE(U47:U49)</f>
        <v>0.68440000000000001</v>
      </c>
      <c r="V46" s="150">
        <f>+(V47+V48+V49)*E46</f>
        <v>0.14229999999999998</v>
      </c>
      <c r="W46" s="150">
        <f>+(W47+W48+W49)*E46</f>
        <v>0.15532000000000001</v>
      </c>
      <c r="X46" s="129">
        <f>+AVERAGE(X47:X49)</f>
        <v>0.10493333333333332</v>
      </c>
      <c r="Y46" s="129">
        <f>+AVERAGE(Y47:Y49)</f>
        <v>0.47781444444444438</v>
      </c>
      <c r="Z46" s="189">
        <f>+(Z47+Z48+Z49)*E46</f>
        <v>2.3980000000000001E-2</v>
      </c>
      <c r="AA46" s="189">
        <f>+(AA47+AA48+AA49)</f>
        <v>0.43355233333333326</v>
      </c>
    </row>
    <row r="47" spans="1:27" ht="70.95" customHeight="1" thickBot="1" x14ac:dyDescent="0.4">
      <c r="A47" s="110"/>
      <c r="B47" s="133" t="s">
        <v>839</v>
      </c>
      <c r="C47" s="190" t="s">
        <v>1296</v>
      </c>
      <c r="D47" s="191" t="s">
        <v>790</v>
      </c>
      <c r="E47" s="195">
        <v>0.4</v>
      </c>
      <c r="F47" s="193">
        <v>300000</v>
      </c>
      <c r="G47" s="130">
        <v>30000</v>
      </c>
      <c r="H47" s="130">
        <v>115000</v>
      </c>
      <c r="I47" s="137">
        <f>+G47/F47</f>
        <v>0.1</v>
      </c>
      <c r="J47" s="136">
        <f t="shared" ref="J47:J56" si="47">+H47/F47</f>
        <v>0.38333333333333336</v>
      </c>
      <c r="K47" s="136">
        <f>+(G47/F47)*E47</f>
        <v>4.0000000000000008E-2</v>
      </c>
      <c r="L47" s="136">
        <f t="shared" ref="L47:L59" si="48">+(H47/F47)*E47</f>
        <v>0.15333333333333335</v>
      </c>
      <c r="M47" s="130">
        <v>4440</v>
      </c>
      <c r="N47" s="550">
        <v>3037</v>
      </c>
      <c r="O47" s="550">
        <v>2140</v>
      </c>
      <c r="P47" s="550">
        <v>941</v>
      </c>
      <c r="Q47" s="130"/>
      <c r="R47" s="130">
        <f t="shared" ref="R47:R49" si="49">+N47+O47+P47+Q47</f>
        <v>6118</v>
      </c>
      <c r="S47" s="130">
        <f t="shared" ref="S47:S49" si="50">+R47+M47</f>
        <v>10558</v>
      </c>
      <c r="T47" s="152">
        <f>+(M47/G47)</f>
        <v>0.14799999999999999</v>
      </c>
      <c r="U47" s="152">
        <f t="shared" ref="U47:U59" si="51">+R47/H47</f>
        <v>5.3199999999999997E-2</v>
      </c>
      <c r="V47" s="152">
        <f>+T47*E47</f>
        <v>5.9200000000000003E-2</v>
      </c>
      <c r="W47" s="152">
        <f t="shared" ref="W47:W49" si="52">+U47*E47</f>
        <v>2.128E-2</v>
      </c>
      <c r="X47" s="152">
        <f>+M47/F47</f>
        <v>1.4800000000000001E-2</v>
      </c>
      <c r="Y47" s="197">
        <f t="shared" si="45"/>
        <v>3.5193333333333333E-2</v>
      </c>
      <c r="Z47" s="197">
        <f>+X47*E47</f>
        <v>5.9200000000000008E-3</v>
      </c>
      <c r="AA47" s="197">
        <f>+Y47*E47</f>
        <v>1.4077333333333334E-2</v>
      </c>
    </row>
    <row r="48" spans="1:27" ht="78" customHeight="1" thickBot="1" x14ac:dyDescent="0.4">
      <c r="A48" s="110"/>
      <c r="B48" s="133" t="s">
        <v>840</v>
      </c>
      <c r="C48" s="190" t="s">
        <v>1297</v>
      </c>
      <c r="D48" s="191" t="s">
        <v>790</v>
      </c>
      <c r="E48" s="195">
        <v>0.3</v>
      </c>
      <c r="F48" s="193">
        <v>8</v>
      </c>
      <c r="G48" s="130">
        <v>1</v>
      </c>
      <c r="H48" s="130">
        <v>3</v>
      </c>
      <c r="I48" s="137">
        <f>+G48/F48</f>
        <v>0.125</v>
      </c>
      <c r="J48" s="136">
        <f t="shared" si="47"/>
        <v>0.375</v>
      </c>
      <c r="K48" s="136">
        <f>+(G48/F48)*E48</f>
        <v>3.7499999999999999E-2</v>
      </c>
      <c r="L48" s="136">
        <f t="shared" si="48"/>
        <v>0.11249999999999999</v>
      </c>
      <c r="M48" s="130">
        <v>1</v>
      </c>
      <c r="N48" s="550">
        <v>0</v>
      </c>
      <c r="O48" s="550">
        <v>1.54</v>
      </c>
      <c r="P48" s="550">
        <v>4.43</v>
      </c>
      <c r="Q48" s="130"/>
      <c r="R48" s="130">
        <f t="shared" si="49"/>
        <v>5.97</v>
      </c>
      <c r="S48" s="130">
        <f t="shared" si="50"/>
        <v>6.97</v>
      </c>
      <c r="T48" s="152">
        <f>+(M48/G48)</f>
        <v>1</v>
      </c>
      <c r="U48" s="152">
        <v>1</v>
      </c>
      <c r="V48" s="152">
        <f>+T48*E48</f>
        <v>0.3</v>
      </c>
      <c r="W48" s="152">
        <f t="shared" si="52"/>
        <v>0.3</v>
      </c>
      <c r="X48" s="152">
        <f>+M48/F48</f>
        <v>0.125</v>
      </c>
      <c r="Y48" s="197">
        <f t="shared" si="45"/>
        <v>0.87124999999999997</v>
      </c>
      <c r="Z48" s="197">
        <f>+X48*E48</f>
        <v>3.7499999999999999E-2</v>
      </c>
      <c r="AA48" s="197">
        <f>+Y48*E48</f>
        <v>0.26137499999999997</v>
      </c>
    </row>
    <row r="49" spans="1:27" ht="69.599999999999994" customHeight="1" thickBot="1" x14ac:dyDescent="0.4">
      <c r="A49" s="110"/>
      <c r="B49" s="133" t="s">
        <v>841</v>
      </c>
      <c r="C49" s="190" t="s">
        <v>1298</v>
      </c>
      <c r="D49" s="204" t="s">
        <v>790</v>
      </c>
      <c r="E49" s="205">
        <v>0.3</v>
      </c>
      <c r="F49" s="193">
        <v>1</v>
      </c>
      <c r="G49" s="130">
        <v>0.25</v>
      </c>
      <c r="H49" s="130">
        <v>0.25</v>
      </c>
      <c r="I49" s="137">
        <f>+G49/F49</f>
        <v>0.25</v>
      </c>
      <c r="J49" s="136">
        <f t="shared" si="47"/>
        <v>0.25</v>
      </c>
      <c r="K49" s="136">
        <f>+(G49/F49)*E49</f>
        <v>7.4999999999999997E-2</v>
      </c>
      <c r="L49" s="136">
        <f t="shared" si="48"/>
        <v>7.4999999999999997E-2</v>
      </c>
      <c r="M49" s="130">
        <v>0.17499999999999999</v>
      </c>
      <c r="N49" s="550">
        <v>2E-3</v>
      </c>
      <c r="O49" s="550">
        <v>0.35</v>
      </c>
      <c r="P49" s="550">
        <v>0</v>
      </c>
      <c r="Q49" s="130"/>
      <c r="R49" s="130">
        <f t="shared" si="49"/>
        <v>0.35199999999999998</v>
      </c>
      <c r="S49" s="130">
        <f t="shared" si="50"/>
        <v>0.52699999999999991</v>
      </c>
      <c r="T49" s="152">
        <f>+M49/G49</f>
        <v>0.7</v>
      </c>
      <c r="U49" s="152">
        <v>1</v>
      </c>
      <c r="V49" s="152">
        <f>+T49*E49</f>
        <v>0.21</v>
      </c>
      <c r="W49" s="152">
        <f t="shared" si="52"/>
        <v>0.3</v>
      </c>
      <c r="X49" s="152">
        <f>+M49/F49</f>
        <v>0.17499999999999999</v>
      </c>
      <c r="Y49" s="197">
        <f t="shared" si="45"/>
        <v>0.52699999999999991</v>
      </c>
      <c r="Z49" s="197">
        <f>+X49*E49</f>
        <v>5.2499999999999998E-2</v>
      </c>
      <c r="AA49" s="197">
        <f>+Y49*E49</f>
        <v>0.15809999999999996</v>
      </c>
    </row>
    <row r="50" spans="1:27" ht="66" customHeight="1" thickBot="1" x14ac:dyDescent="0.4">
      <c r="A50" s="110"/>
      <c r="B50" s="970" t="s">
        <v>1658</v>
      </c>
      <c r="C50" s="981"/>
      <c r="D50" s="198"/>
      <c r="E50" s="199">
        <v>0.15</v>
      </c>
      <c r="F50" s="193"/>
      <c r="G50" s="123"/>
      <c r="H50" s="123"/>
      <c r="I50" s="129">
        <f>+AVERAGE(I51:I52)*0.5</f>
        <v>0.125</v>
      </c>
      <c r="J50" s="129">
        <f>+AVERAGE(J51:J52)</f>
        <v>0.22500000000000001</v>
      </c>
      <c r="K50" s="129">
        <f>+K51+K52</f>
        <v>0.1</v>
      </c>
      <c r="L50" s="129">
        <f>+L51+L52</f>
        <v>0.22</v>
      </c>
      <c r="M50" s="128"/>
      <c r="N50" s="128"/>
      <c r="O50" s="128"/>
      <c r="P50" s="128"/>
      <c r="Q50" s="128"/>
      <c r="R50" s="128"/>
      <c r="S50" s="128"/>
      <c r="T50" s="150">
        <f>+AVERAGE(T51:T52)</f>
        <v>1</v>
      </c>
      <c r="U50" s="150">
        <f>+AVERAGE(U51:U52)</f>
        <v>0.6</v>
      </c>
      <c r="V50" s="150">
        <f>+(V51+V52)*E50</f>
        <v>0.06</v>
      </c>
      <c r="W50" s="150">
        <f>+(W51+W52)*E50</f>
        <v>0.10199999999999999</v>
      </c>
      <c r="X50" s="129">
        <f>+AVERAGE(X51:X52)*0.5</f>
        <v>0.125</v>
      </c>
      <c r="Y50" s="129">
        <f>+AVERAGE(Y51:Y52)</f>
        <v>0.35</v>
      </c>
      <c r="Z50" s="189">
        <f>+(Z51+Z52)*E50</f>
        <v>1.4999999999999999E-2</v>
      </c>
      <c r="AA50" s="189">
        <f>+(AA51+AA52)</f>
        <v>0.36</v>
      </c>
    </row>
    <row r="51" spans="1:27" ht="84.6" customHeight="1" thickBot="1" x14ac:dyDescent="0.4">
      <c r="A51" s="110"/>
      <c r="B51" s="140" t="s">
        <v>842</v>
      </c>
      <c r="C51" s="202" t="s">
        <v>1299</v>
      </c>
      <c r="D51" s="204" t="s">
        <v>790</v>
      </c>
      <c r="E51" s="205">
        <v>0.6</v>
      </c>
      <c r="F51" s="193">
        <v>1</v>
      </c>
      <c r="G51" s="130">
        <v>0</v>
      </c>
      <c r="H51" s="130">
        <v>0.2</v>
      </c>
      <c r="I51" s="136"/>
      <c r="J51" s="136">
        <f t="shared" si="47"/>
        <v>0.2</v>
      </c>
      <c r="K51" s="136"/>
      <c r="L51" s="136">
        <f t="shared" si="48"/>
        <v>0.12</v>
      </c>
      <c r="M51" s="130"/>
      <c r="N51" s="550">
        <v>7.0000000000000007E-2</v>
      </c>
      <c r="O51" s="550">
        <v>0.33</v>
      </c>
      <c r="P51" s="550">
        <v>0</v>
      </c>
      <c r="Q51" s="130"/>
      <c r="R51" s="130">
        <f t="shared" ref="R51:R52" si="53">+N51+O51+P51+Q51</f>
        <v>0.4</v>
      </c>
      <c r="S51" s="164">
        <f t="shared" ref="S51:S52" si="54">+R51+M51</f>
        <v>0.4</v>
      </c>
      <c r="T51" s="152"/>
      <c r="U51" s="152">
        <v>1</v>
      </c>
      <c r="V51" s="152"/>
      <c r="W51" s="152">
        <f t="shared" ref="W51:W52" si="55">+U51*E51</f>
        <v>0.6</v>
      </c>
      <c r="X51" s="152"/>
      <c r="Y51" s="197">
        <f t="shared" si="45"/>
        <v>0.4</v>
      </c>
      <c r="Z51" s="197"/>
      <c r="AA51" s="197">
        <f>+Y51*E51</f>
        <v>0.24</v>
      </c>
    </row>
    <row r="52" spans="1:27" ht="79.2" customHeight="1" thickBot="1" x14ac:dyDescent="0.4">
      <c r="A52" s="110"/>
      <c r="B52" s="133" t="s">
        <v>843</v>
      </c>
      <c r="C52" s="190" t="s">
        <v>1300</v>
      </c>
      <c r="D52" s="204" t="s">
        <v>790</v>
      </c>
      <c r="E52" s="205">
        <v>0.4</v>
      </c>
      <c r="F52" s="193">
        <v>2</v>
      </c>
      <c r="G52" s="130">
        <v>0.5</v>
      </c>
      <c r="H52" s="130">
        <v>0.5</v>
      </c>
      <c r="I52" s="136">
        <f>+G52/F52</f>
        <v>0.25</v>
      </c>
      <c r="J52" s="136">
        <f t="shared" si="47"/>
        <v>0.25</v>
      </c>
      <c r="K52" s="136">
        <f>+(G52/F52)*E52</f>
        <v>0.1</v>
      </c>
      <c r="L52" s="136">
        <f t="shared" si="48"/>
        <v>0.1</v>
      </c>
      <c r="M52" s="130">
        <v>0.5</v>
      </c>
      <c r="N52" s="550">
        <v>0.03</v>
      </c>
      <c r="O52" s="550">
        <v>7.0000000000000007E-2</v>
      </c>
      <c r="P52" s="550">
        <v>0</v>
      </c>
      <c r="Q52" s="130"/>
      <c r="R52" s="130">
        <f t="shared" si="53"/>
        <v>0.1</v>
      </c>
      <c r="S52" s="130">
        <f t="shared" si="54"/>
        <v>0.6</v>
      </c>
      <c r="T52" s="152">
        <f>+M52/G52</f>
        <v>1</v>
      </c>
      <c r="U52" s="152">
        <f t="shared" si="51"/>
        <v>0.2</v>
      </c>
      <c r="V52" s="152">
        <f>+T52*E52</f>
        <v>0.4</v>
      </c>
      <c r="W52" s="152">
        <f t="shared" si="55"/>
        <v>8.0000000000000016E-2</v>
      </c>
      <c r="X52" s="152">
        <f>+M52/F52</f>
        <v>0.25</v>
      </c>
      <c r="Y52" s="197">
        <f t="shared" si="45"/>
        <v>0.3</v>
      </c>
      <c r="Z52" s="197">
        <f>+X52*E52</f>
        <v>0.1</v>
      </c>
      <c r="AA52" s="197">
        <f>+Y52*E52</f>
        <v>0.12</v>
      </c>
    </row>
    <row r="53" spans="1:27" ht="57" customHeight="1" thickBot="1" x14ac:dyDescent="0.4">
      <c r="A53" s="110"/>
      <c r="B53" s="970" t="s">
        <v>1659</v>
      </c>
      <c r="C53" s="981"/>
      <c r="D53" s="198"/>
      <c r="E53" s="199">
        <v>0.1</v>
      </c>
      <c r="F53" s="193"/>
      <c r="G53" s="123"/>
      <c r="H53" s="123"/>
      <c r="I53" s="129">
        <f>+AVERAGE(I54:I56)</f>
        <v>0.20833333333333334</v>
      </c>
      <c r="J53" s="129">
        <f>+AVERAGE(J54:J56)</f>
        <v>0.25</v>
      </c>
      <c r="K53" s="129">
        <f>+K54+K55+K56</f>
        <v>0.20250000000000001</v>
      </c>
      <c r="L53" s="129">
        <f>+L54+L55+L56</f>
        <v>0.24</v>
      </c>
      <c r="M53" s="128"/>
      <c r="N53" s="128"/>
      <c r="O53" s="128"/>
      <c r="P53" s="128"/>
      <c r="Q53" s="128"/>
      <c r="R53" s="128"/>
      <c r="S53" s="128"/>
      <c r="T53" s="150">
        <f>+AVERAGE(T54:T56)</f>
        <v>1</v>
      </c>
      <c r="U53" s="150">
        <f>+AVERAGE(U54:U56)</f>
        <v>0.79280000000000006</v>
      </c>
      <c r="V53" s="150">
        <f>+(V54+V55+V56)*E53</f>
        <v>0.1</v>
      </c>
      <c r="W53" s="150">
        <f>+(W54+W55+W56)*E53</f>
        <v>7.5802000000000008E-2</v>
      </c>
      <c r="X53" s="129">
        <f>+AVERAGE(X54:X56)</f>
        <v>0.25</v>
      </c>
      <c r="Y53" s="129">
        <f>+AVERAGE(Y54:Y56)</f>
        <v>0.5877</v>
      </c>
      <c r="Z53" s="189">
        <f>+(Z54+Z55+Z56)*E53</f>
        <v>2.4E-2</v>
      </c>
      <c r="AA53" s="189">
        <f>+(AA54+AA55+AA56)</f>
        <v>0.52783000000000002</v>
      </c>
    </row>
    <row r="54" spans="1:27" ht="86.4" customHeight="1" thickBot="1" x14ac:dyDescent="0.4">
      <c r="A54" s="110"/>
      <c r="B54" s="133" t="s">
        <v>844</v>
      </c>
      <c r="C54" s="190" t="s">
        <v>1781</v>
      </c>
      <c r="D54" s="191" t="s">
        <v>790</v>
      </c>
      <c r="E54" s="195">
        <v>0.45</v>
      </c>
      <c r="F54" s="193">
        <v>5</v>
      </c>
      <c r="G54" s="130">
        <v>1</v>
      </c>
      <c r="H54" s="130">
        <v>1</v>
      </c>
      <c r="I54" s="136">
        <f>+G54/F54</f>
        <v>0.2</v>
      </c>
      <c r="J54" s="136">
        <f t="shared" si="47"/>
        <v>0.2</v>
      </c>
      <c r="K54" s="136">
        <f>+(G54/F54)*E54</f>
        <v>9.0000000000000011E-2</v>
      </c>
      <c r="L54" s="136">
        <f t="shared" si="48"/>
        <v>9.0000000000000011E-2</v>
      </c>
      <c r="M54" s="130">
        <v>1</v>
      </c>
      <c r="N54" s="550">
        <v>0.14000000000000001</v>
      </c>
      <c r="O54" s="550">
        <v>0.2</v>
      </c>
      <c r="P54" s="550">
        <v>0.28999999999999998</v>
      </c>
      <c r="Q54" s="130"/>
      <c r="R54" s="164">
        <f t="shared" ref="R54:R56" si="56">+N54+O54+P54+Q54</f>
        <v>0.63</v>
      </c>
      <c r="S54" s="164">
        <f t="shared" ref="S54:S56" si="57">+R54+M54</f>
        <v>1.63</v>
      </c>
      <c r="T54" s="152">
        <f>+(M54/G54)</f>
        <v>1</v>
      </c>
      <c r="U54" s="152">
        <f t="shared" si="51"/>
        <v>0.63</v>
      </c>
      <c r="V54" s="152">
        <f>+T54*E54</f>
        <v>0.45</v>
      </c>
      <c r="W54" s="152">
        <f t="shared" ref="W54:W56" si="58">+U54*E54</f>
        <v>0.28350000000000003</v>
      </c>
      <c r="X54" s="152">
        <f>+M54/F54</f>
        <v>0.2</v>
      </c>
      <c r="Y54" s="197">
        <f t="shared" si="45"/>
        <v>0.32599999999999996</v>
      </c>
      <c r="Z54" s="197">
        <f>+X54*E54</f>
        <v>9.0000000000000011E-2</v>
      </c>
      <c r="AA54" s="197">
        <f>+Y54*E54</f>
        <v>0.1467</v>
      </c>
    </row>
    <row r="55" spans="1:27" ht="76.95" customHeight="1" thickBot="1" x14ac:dyDescent="0.4">
      <c r="A55" s="110"/>
      <c r="B55" s="133" t="s">
        <v>845</v>
      </c>
      <c r="C55" s="190" t="s">
        <v>1301</v>
      </c>
      <c r="D55" s="191" t="s">
        <v>790</v>
      </c>
      <c r="E55" s="195">
        <v>0.3</v>
      </c>
      <c r="F55" s="193">
        <v>4</v>
      </c>
      <c r="G55" s="130">
        <v>0.5</v>
      </c>
      <c r="H55" s="130">
        <v>1</v>
      </c>
      <c r="I55" s="136">
        <f>+G55/F55</f>
        <v>0.125</v>
      </c>
      <c r="J55" s="136">
        <f t="shared" si="47"/>
        <v>0.25</v>
      </c>
      <c r="K55" s="136">
        <f>+(G55/F55)*E55</f>
        <v>3.7499999999999999E-2</v>
      </c>
      <c r="L55" s="136">
        <f t="shared" si="48"/>
        <v>7.4999999999999997E-2</v>
      </c>
      <c r="M55" s="130">
        <v>1</v>
      </c>
      <c r="N55" s="551">
        <v>1.67E-2</v>
      </c>
      <c r="O55" s="551">
        <v>0.28670000000000001</v>
      </c>
      <c r="P55" s="551">
        <v>0.44500000000000001</v>
      </c>
      <c r="Q55" s="130"/>
      <c r="R55" s="164">
        <f t="shared" si="56"/>
        <v>0.74839999999999995</v>
      </c>
      <c r="S55" s="164">
        <f t="shared" si="57"/>
        <v>1.7484</v>
      </c>
      <c r="T55" s="152">
        <v>1</v>
      </c>
      <c r="U55" s="152">
        <f t="shared" si="51"/>
        <v>0.74839999999999995</v>
      </c>
      <c r="V55" s="152">
        <f>+T55*E55</f>
        <v>0.3</v>
      </c>
      <c r="W55" s="152">
        <f t="shared" si="58"/>
        <v>0.22451999999999997</v>
      </c>
      <c r="X55" s="152">
        <f>+M55/F55</f>
        <v>0.25</v>
      </c>
      <c r="Y55" s="197">
        <f t="shared" si="45"/>
        <v>0.43709999999999999</v>
      </c>
      <c r="Z55" s="197">
        <f>+X55*E55</f>
        <v>7.4999999999999997E-2</v>
      </c>
      <c r="AA55" s="197">
        <f>+Y55*E55</f>
        <v>0.13113</v>
      </c>
    </row>
    <row r="56" spans="1:27" ht="56.4" customHeight="1" thickBot="1" x14ac:dyDescent="0.4">
      <c r="A56" s="110"/>
      <c r="B56" s="133" t="s">
        <v>846</v>
      </c>
      <c r="C56" s="190" t="s">
        <v>1302</v>
      </c>
      <c r="D56" s="191" t="s">
        <v>790</v>
      </c>
      <c r="E56" s="195">
        <v>0.25</v>
      </c>
      <c r="F56" s="193">
        <v>1</v>
      </c>
      <c r="G56" s="130">
        <v>0.3</v>
      </c>
      <c r="H56" s="130">
        <v>0.3</v>
      </c>
      <c r="I56" s="136">
        <f>+G56/F56</f>
        <v>0.3</v>
      </c>
      <c r="J56" s="136">
        <f t="shared" si="47"/>
        <v>0.3</v>
      </c>
      <c r="K56" s="136">
        <f>+(G56/F56)*E56</f>
        <v>7.4999999999999997E-2</v>
      </c>
      <c r="L56" s="136">
        <f t="shared" si="48"/>
        <v>7.4999999999999997E-2</v>
      </c>
      <c r="M56" s="130">
        <v>0.3</v>
      </c>
      <c r="N56" s="551">
        <v>1.67E-2</v>
      </c>
      <c r="O56" s="551">
        <v>0.1</v>
      </c>
      <c r="P56" s="550">
        <v>0.78</v>
      </c>
      <c r="Q56" s="130"/>
      <c r="R56" s="164">
        <f t="shared" si="56"/>
        <v>0.89670000000000005</v>
      </c>
      <c r="S56" s="164">
        <f t="shared" si="57"/>
        <v>1.1967000000000001</v>
      </c>
      <c r="T56" s="152">
        <f t="shared" ref="T56" si="59">+(M56/G56)</f>
        <v>1</v>
      </c>
      <c r="U56" s="152">
        <v>1</v>
      </c>
      <c r="V56" s="152">
        <f>+T56*E56</f>
        <v>0.25</v>
      </c>
      <c r="W56" s="152">
        <f t="shared" si="58"/>
        <v>0.25</v>
      </c>
      <c r="X56" s="152">
        <f>+M56/F56</f>
        <v>0.3</v>
      </c>
      <c r="Y56" s="197">
        <v>1</v>
      </c>
      <c r="Z56" s="197">
        <f>+X56*E56</f>
        <v>7.4999999999999997E-2</v>
      </c>
      <c r="AA56" s="197">
        <f>+Y56*E56</f>
        <v>0.25</v>
      </c>
    </row>
    <row r="57" spans="1:27" ht="86.25" customHeight="1" thickBot="1" x14ac:dyDescent="0.4">
      <c r="A57" s="110"/>
      <c r="B57" s="970" t="s">
        <v>1735</v>
      </c>
      <c r="C57" s="981"/>
      <c r="D57" s="198"/>
      <c r="E57" s="199">
        <v>0.25</v>
      </c>
      <c r="F57" s="193"/>
      <c r="G57" s="123"/>
      <c r="H57" s="123"/>
      <c r="I57" s="129">
        <f>+AVERAGE(I58:I59)</f>
        <v>0.16666666666666666</v>
      </c>
      <c r="J57" s="129">
        <f>+AVERAGE(J58:J59)</f>
        <v>0.31666666666666665</v>
      </c>
      <c r="K57" s="129">
        <f>+K58+K59</f>
        <v>0.13333333333333333</v>
      </c>
      <c r="L57" s="129">
        <f>+L58+L59</f>
        <v>0.32666666666666666</v>
      </c>
      <c r="M57" s="128"/>
      <c r="N57" s="128"/>
      <c r="O57" s="128"/>
      <c r="P57" s="128"/>
      <c r="Q57" s="128"/>
      <c r="R57" s="128"/>
      <c r="S57" s="128"/>
      <c r="T57" s="150">
        <f>+AVERAGE(T58:T59)</f>
        <v>0.5</v>
      </c>
      <c r="U57" s="150">
        <f>+AVERAGE(U58:U59)</f>
        <v>0.5</v>
      </c>
      <c r="V57" s="150">
        <f>+(V58+V59)*E57</f>
        <v>0.1</v>
      </c>
      <c r="W57" s="150">
        <f>+(W58+W59)*E57</f>
        <v>0.05</v>
      </c>
      <c r="X57" s="129">
        <f>+AVERAGE(X58:X59)</f>
        <v>8.3333333333333329E-2</v>
      </c>
      <c r="Y57" s="129">
        <f>+AVERAGE(Y58:Y59)</f>
        <v>0.19235016666666666</v>
      </c>
      <c r="Z57" s="189">
        <f>+(Z58+Z59)*E57</f>
        <v>1.6666666666666666E-2</v>
      </c>
      <c r="AA57" s="189">
        <f>+(AA58+AA59)</f>
        <v>0.12694006666666668</v>
      </c>
    </row>
    <row r="58" spans="1:27" ht="78" customHeight="1" thickBot="1" x14ac:dyDescent="0.4">
      <c r="A58" s="110"/>
      <c r="B58" s="140" t="s">
        <v>847</v>
      </c>
      <c r="C58" s="202" t="s">
        <v>1303</v>
      </c>
      <c r="D58" s="207" t="s">
        <v>1494</v>
      </c>
      <c r="E58" s="195">
        <v>0.2</v>
      </c>
      <c r="F58" s="193">
        <v>10000</v>
      </c>
      <c r="G58" s="130">
        <v>0</v>
      </c>
      <c r="H58" s="130">
        <v>3000</v>
      </c>
      <c r="I58" s="136"/>
      <c r="J58" s="136">
        <f t="shared" ref="J58:J59" si="60">+H58/F58</f>
        <v>0.3</v>
      </c>
      <c r="K58" s="136"/>
      <c r="L58" s="136">
        <f t="shared" si="48"/>
        <v>0.06</v>
      </c>
      <c r="M58" s="130"/>
      <c r="N58" s="550">
        <v>0</v>
      </c>
      <c r="O58" s="550">
        <v>1626</v>
      </c>
      <c r="P58" s="550">
        <v>1387.67</v>
      </c>
      <c r="Q58" s="130"/>
      <c r="R58" s="130">
        <f t="shared" ref="R58:R59" si="61">+N58+O58+P58+Q58</f>
        <v>3013.67</v>
      </c>
      <c r="S58" s="130">
        <f t="shared" ref="S58:S59" si="62">+R58+M58</f>
        <v>3013.67</v>
      </c>
      <c r="T58" s="152"/>
      <c r="U58" s="152">
        <v>1</v>
      </c>
      <c r="V58" s="152"/>
      <c r="W58" s="152">
        <f t="shared" ref="W58:W59" si="63">+U58*E58</f>
        <v>0.2</v>
      </c>
      <c r="X58" s="152"/>
      <c r="Y58" s="197">
        <f t="shared" si="45"/>
        <v>0.301367</v>
      </c>
      <c r="Z58" s="197"/>
      <c r="AA58" s="197">
        <f>+Y58*E58</f>
        <v>6.0273400000000005E-2</v>
      </c>
    </row>
    <row r="59" spans="1:27" ht="102.6" customHeight="1" thickBot="1" x14ac:dyDescent="0.4">
      <c r="A59" s="110"/>
      <c r="B59" s="800" t="s">
        <v>848</v>
      </c>
      <c r="C59" s="801" t="s">
        <v>1304</v>
      </c>
      <c r="D59" s="207" t="s">
        <v>1494</v>
      </c>
      <c r="E59" s="195">
        <v>0.8</v>
      </c>
      <c r="F59" s="193">
        <v>6</v>
      </c>
      <c r="G59" s="130">
        <v>1</v>
      </c>
      <c r="H59" s="203">
        <v>2</v>
      </c>
      <c r="I59" s="136">
        <f>+G59/F59</f>
        <v>0.16666666666666666</v>
      </c>
      <c r="J59" s="136">
        <f t="shared" si="60"/>
        <v>0.33333333333333331</v>
      </c>
      <c r="K59" s="136">
        <f>+(G59/F59)*E59</f>
        <v>0.13333333333333333</v>
      </c>
      <c r="L59" s="136">
        <f t="shared" si="48"/>
        <v>0.26666666666666666</v>
      </c>
      <c r="M59" s="130">
        <v>0.5</v>
      </c>
      <c r="N59" s="550">
        <v>0</v>
      </c>
      <c r="O59" s="550">
        <v>0</v>
      </c>
      <c r="P59" s="550">
        <v>0</v>
      </c>
      <c r="Q59" s="130"/>
      <c r="R59" s="130">
        <f t="shared" si="61"/>
        <v>0</v>
      </c>
      <c r="S59" s="130">
        <f t="shared" si="62"/>
        <v>0.5</v>
      </c>
      <c r="T59" s="152">
        <f>+(M59/G59)</f>
        <v>0.5</v>
      </c>
      <c r="U59" s="152">
        <f t="shared" si="51"/>
        <v>0</v>
      </c>
      <c r="V59" s="152">
        <f>+T59*E59</f>
        <v>0.4</v>
      </c>
      <c r="W59" s="152">
        <f t="shared" si="63"/>
        <v>0</v>
      </c>
      <c r="X59" s="152">
        <f>+M59/F59</f>
        <v>8.3333333333333329E-2</v>
      </c>
      <c r="Y59" s="197">
        <f t="shared" si="45"/>
        <v>8.3333333333333329E-2</v>
      </c>
      <c r="Z59" s="197">
        <f>+X59*E59</f>
        <v>6.6666666666666666E-2</v>
      </c>
      <c r="AA59" s="197">
        <f>+Y59*E59</f>
        <v>6.6666666666666666E-2</v>
      </c>
    </row>
    <row r="60" spans="1:27" ht="108.75" customHeight="1" thickBot="1" x14ac:dyDescent="0.4">
      <c r="A60" s="110"/>
      <c r="B60" s="976" t="s">
        <v>1736</v>
      </c>
      <c r="C60" s="981"/>
      <c r="D60" s="198"/>
      <c r="E60" s="201">
        <v>0.15</v>
      </c>
      <c r="F60" s="118">
        <f>+E60*V60</f>
        <v>0.12154551724137931</v>
      </c>
      <c r="G60" s="123"/>
      <c r="H60" s="119">
        <f>+E60*W60</f>
        <v>9.3742499999999992E-2</v>
      </c>
      <c r="I60" s="121">
        <f>+(I61+I64+I69+I73+I77+I79)/6</f>
        <v>0.25786840977058367</v>
      </c>
      <c r="J60" s="121">
        <f>+(J61+J64+J69+J73+J77+J79)/6</f>
        <v>0.2488091316895665</v>
      </c>
      <c r="K60" s="122">
        <f>+(K61+K64+K69+K73+K77+K79)/6</f>
        <v>0.23061672626890017</v>
      </c>
      <c r="L60" s="122">
        <f>+(L61+L64+L69+L73+L77+L79)/6</f>
        <v>0.24748337411380886</v>
      </c>
      <c r="M60" s="123"/>
      <c r="N60" s="123"/>
      <c r="O60" s="123"/>
      <c r="P60" s="123"/>
      <c r="Q60" s="123"/>
      <c r="R60" s="123"/>
      <c r="S60" s="123"/>
      <c r="T60" s="121">
        <f>+(T61+T64+T69+T73+T77+T79)/6</f>
        <v>0.89865134099616861</v>
      </c>
      <c r="U60" s="121">
        <f>+(U61+U64+U69+U73+U77+U79)/6</f>
        <v>0.65382407407407417</v>
      </c>
      <c r="V60" s="122">
        <f>+V61+V64+V69+V73+V77+V79</f>
        <v>0.81030344827586209</v>
      </c>
      <c r="W60" s="122">
        <f>+W61+W64+W69+W73+W77+W79</f>
        <v>0.62495000000000001</v>
      </c>
      <c r="X60" s="121">
        <f>(X61+X64+X69+X73+X77+X79)/6</f>
        <v>0.34751855340367338</v>
      </c>
      <c r="Y60" s="121">
        <f>(Y61+Y64+Y69+Y73+Y77+Y79)/6</f>
        <v>0.55181730734560563</v>
      </c>
      <c r="Z60" s="187">
        <f>+(Z61+Z64+Z69+Z73+Z77+Z79)</f>
        <v>0.30808632226094745</v>
      </c>
      <c r="AA60" s="187">
        <f>+(AA61*E61+AA64*E64+AA69*E69+AA73*E73+AA77*E77+AA79*E79)</f>
        <v>0.49235551802021066</v>
      </c>
    </row>
    <row r="61" spans="1:27" ht="57" customHeight="1" thickBot="1" x14ac:dyDescent="0.4">
      <c r="A61" s="110"/>
      <c r="B61" s="970" t="s">
        <v>1737</v>
      </c>
      <c r="C61" s="981"/>
      <c r="D61" s="198"/>
      <c r="E61" s="199">
        <v>0.1</v>
      </c>
      <c r="F61" s="193"/>
      <c r="G61" s="123"/>
      <c r="H61" s="123"/>
      <c r="I61" s="129">
        <f>+AVERAGE(I62:I63)</f>
        <v>0.33333333333333331</v>
      </c>
      <c r="J61" s="129">
        <f>+AVERAGE(J62:J63)</f>
        <v>0.29166666666666663</v>
      </c>
      <c r="K61" s="129">
        <f>+K62+K63</f>
        <v>9.9999999999999992E-2</v>
      </c>
      <c r="L61" s="129">
        <f>+L62+L63</f>
        <v>0.27499999999999997</v>
      </c>
      <c r="M61" s="128"/>
      <c r="N61" s="128"/>
      <c r="O61" s="128"/>
      <c r="P61" s="128"/>
      <c r="Q61" s="128"/>
      <c r="R61" s="128"/>
      <c r="S61" s="128"/>
      <c r="T61" s="150">
        <f>+AVERAGE(T62:T63)</f>
        <v>0.9</v>
      </c>
      <c r="U61" s="150">
        <f>+AVERAGE(U62:U63)</f>
        <v>0.58750000000000002</v>
      </c>
      <c r="V61" s="150">
        <f>+(V62+V63)*E61</f>
        <v>2.7000000000000003E-2</v>
      </c>
      <c r="W61" s="150">
        <f>+(W62+W63)*E61</f>
        <v>5.1249999999999997E-2</v>
      </c>
      <c r="X61" s="129">
        <f>+AVERAGE(X62:X63)</f>
        <v>0.3</v>
      </c>
      <c r="Y61" s="129">
        <f>+X61+((Y62-X62)/2)+(Y63/2)</f>
        <v>0.47916666666666669</v>
      </c>
      <c r="Z61" s="189">
        <f>+(Z62+Z63)*E61</f>
        <v>8.9999999999999993E-3</v>
      </c>
      <c r="AA61" s="189">
        <f>+(AA62+AA63)</f>
        <v>0.23749999999999999</v>
      </c>
    </row>
    <row r="62" spans="1:27" ht="90" customHeight="1" thickBot="1" x14ac:dyDescent="0.4">
      <c r="A62" s="110"/>
      <c r="B62" s="133" t="s">
        <v>849</v>
      </c>
      <c r="C62" s="190" t="s">
        <v>1305</v>
      </c>
      <c r="D62" s="191" t="s">
        <v>790</v>
      </c>
      <c r="E62" s="195">
        <v>0.3</v>
      </c>
      <c r="F62" s="193">
        <v>6</v>
      </c>
      <c r="G62" s="130">
        <v>2</v>
      </c>
      <c r="H62" s="130">
        <v>2</v>
      </c>
      <c r="I62" s="136">
        <f>+G62/F62</f>
        <v>0.33333333333333331</v>
      </c>
      <c r="J62" s="136">
        <f t="shared" ref="J62:J63" si="64">+H62/F62</f>
        <v>0.33333333333333331</v>
      </c>
      <c r="K62" s="136">
        <f>+(G62/F62)*E62</f>
        <v>9.9999999999999992E-2</v>
      </c>
      <c r="L62" s="136">
        <f t="shared" ref="L62:L81" si="65">+(H62/F62)*E62</f>
        <v>9.9999999999999992E-2</v>
      </c>
      <c r="M62" s="130">
        <v>1.8</v>
      </c>
      <c r="N62" s="550">
        <v>0.15</v>
      </c>
      <c r="O62" s="550">
        <v>0.9</v>
      </c>
      <c r="P62" s="550">
        <v>0.5</v>
      </c>
      <c r="Q62" s="130"/>
      <c r="R62" s="130">
        <f t="shared" ref="R62:R63" si="66">+N62+O62+P62+Q62</f>
        <v>1.55</v>
      </c>
      <c r="S62" s="130">
        <f t="shared" ref="S62:S63" si="67">+R62+M62</f>
        <v>3.35</v>
      </c>
      <c r="T62" s="152">
        <f>+(M62/G62)</f>
        <v>0.9</v>
      </c>
      <c r="U62" s="152">
        <f t="shared" ref="U62:U63" si="68">+R62/H62</f>
        <v>0.77500000000000002</v>
      </c>
      <c r="V62" s="152">
        <f>+T62*E62</f>
        <v>0.27</v>
      </c>
      <c r="W62" s="152">
        <f t="shared" ref="W62:W63" si="69">+U62*E62</f>
        <v>0.23249999999999998</v>
      </c>
      <c r="X62" s="152">
        <f>+M62/F62</f>
        <v>0.3</v>
      </c>
      <c r="Y62" s="197">
        <f t="shared" ref="Y62:Y63" si="70">+S62/F62</f>
        <v>0.55833333333333335</v>
      </c>
      <c r="Z62" s="197">
        <f>+X62*E62</f>
        <v>0.09</v>
      </c>
      <c r="AA62" s="197">
        <f>+Y62*E62</f>
        <v>0.16750000000000001</v>
      </c>
    </row>
    <row r="63" spans="1:27" ht="88.2" customHeight="1" thickBot="1" x14ac:dyDescent="0.4">
      <c r="A63" s="110"/>
      <c r="B63" s="133" t="s">
        <v>850</v>
      </c>
      <c r="C63" s="190" t="s">
        <v>1306</v>
      </c>
      <c r="D63" s="191" t="s">
        <v>1497</v>
      </c>
      <c r="E63" s="195">
        <v>0.7</v>
      </c>
      <c r="F63" s="193">
        <v>1</v>
      </c>
      <c r="G63" s="130">
        <v>0</v>
      </c>
      <c r="H63" s="130">
        <v>0.25</v>
      </c>
      <c r="I63" s="136"/>
      <c r="J63" s="136">
        <f t="shared" si="64"/>
        <v>0.25</v>
      </c>
      <c r="K63" s="136"/>
      <c r="L63" s="136">
        <f t="shared" si="65"/>
        <v>0.17499999999999999</v>
      </c>
      <c r="M63" s="130"/>
      <c r="N63" s="550">
        <v>0</v>
      </c>
      <c r="O63" s="550">
        <v>0.02</v>
      </c>
      <c r="P63" s="550">
        <v>0.08</v>
      </c>
      <c r="Q63" s="130"/>
      <c r="R63" s="130">
        <f t="shared" si="66"/>
        <v>0.1</v>
      </c>
      <c r="S63" s="130">
        <f t="shared" si="67"/>
        <v>0.1</v>
      </c>
      <c r="T63" s="152"/>
      <c r="U63" s="152">
        <f t="shared" si="68"/>
        <v>0.4</v>
      </c>
      <c r="V63" s="152"/>
      <c r="W63" s="152">
        <f t="shared" si="69"/>
        <v>0.27999999999999997</v>
      </c>
      <c r="X63" s="152"/>
      <c r="Y63" s="197">
        <f t="shared" si="70"/>
        <v>0.1</v>
      </c>
      <c r="Z63" s="197">
        <v>0</v>
      </c>
      <c r="AA63" s="197">
        <f>+Y63*E63</f>
        <v>6.9999999999999993E-2</v>
      </c>
    </row>
    <row r="64" spans="1:27" ht="42.75" customHeight="1" thickBot="1" x14ac:dyDescent="0.4">
      <c r="A64" s="110"/>
      <c r="B64" s="970" t="s">
        <v>1662</v>
      </c>
      <c r="C64" s="981"/>
      <c r="D64" s="198"/>
      <c r="E64" s="199">
        <v>0.15</v>
      </c>
      <c r="F64" s="193"/>
      <c r="G64" s="123"/>
      <c r="H64" s="123"/>
      <c r="I64" s="129">
        <f>+AVERAGE(I65:I68)</f>
        <v>0.23295454545454547</v>
      </c>
      <c r="J64" s="129">
        <f>+AVERAGE(J65:J68)</f>
        <v>0.25568181818181818</v>
      </c>
      <c r="K64" s="129">
        <f>+K65+K66+K67+K68</f>
        <v>0.22954545454545455</v>
      </c>
      <c r="L64" s="129">
        <f>+L65+L66+L67+L68</f>
        <v>0.25681818181818178</v>
      </c>
      <c r="M64" s="128"/>
      <c r="N64" s="128"/>
      <c r="O64" s="128"/>
      <c r="P64" s="128"/>
      <c r="Q64" s="128"/>
      <c r="R64" s="128"/>
      <c r="S64" s="128"/>
      <c r="T64" s="150">
        <f>+AVERAGE(T65:T68)</f>
        <v>1</v>
      </c>
      <c r="U64" s="150">
        <f>+AVERAGE(U65:U68)</f>
        <v>0.82833333333333337</v>
      </c>
      <c r="V64" s="150">
        <f>+(V65+V66+V67+V68)*E64</f>
        <v>0.15</v>
      </c>
      <c r="W64" s="150">
        <f>+(W65+W66+W67+W68)*E64</f>
        <v>0.11940000000000001</v>
      </c>
      <c r="X64" s="129">
        <f>+AVERAGE(X65:X68)</f>
        <v>0.32170454545454552</v>
      </c>
      <c r="Y64" s="129">
        <f>+AVERAGE(Y65:Y68)</f>
        <v>0.60693181818181818</v>
      </c>
      <c r="Z64" s="189">
        <f>+(Z65+Z66+Z67+Z68)*E64</f>
        <v>4.8156818181818176E-2</v>
      </c>
      <c r="AA64" s="189">
        <f>+(AA65+AA66+AA67+AA68)</f>
        <v>0.61281818181818182</v>
      </c>
    </row>
    <row r="65" spans="1:27" ht="75.599999999999994" customHeight="1" thickBot="1" x14ac:dyDescent="0.4">
      <c r="A65" s="110"/>
      <c r="B65" s="800" t="s">
        <v>851</v>
      </c>
      <c r="C65" s="801" t="s">
        <v>1307</v>
      </c>
      <c r="D65" s="191" t="s">
        <v>852</v>
      </c>
      <c r="E65" s="195">
        <v>0.3</v>
      </c>
      <c r="F65" s="193">
        <v>1</v>
      </c>
      <c r="G65" s="203">
        <v>0.25</v>
      </c>
      <c r="H65" s="203">
        <v>0.25</v>
      </c>
      <c r="I65" s="136">
        <f>+G65/F65</f>
        <v>0.25</v>
      </c>
      <c r="J65" s="136">
        <f t="shared" ref="J65:J68" si="71">+H65/F65</f>
        <v>0.25</v>
      </c>
      <c r="K65" s="136">
        <f>+(G65/F65)*E65</f>
        <v>7.4999999999999997E-2</v>
      </c>
      <c r="L65" s="136">
        <f t="shared" si="65"/>
        <v>7.4999999999999997E-2</v>
      </c>
      <c r="M65" s="208">
        <v>0.45500000000000002</v>
      </c>
      <c r="N65" s="551">
        <v>3.2000000000000001E-2</v>
      </c>
      <c r="O65" s="551">
        <v>0.16</v>
      </c>
      <c r="P65" s="867">
        <v>0.49</v>
      </c>
      <c r="Q65" s="208"/>
      <c r="R65" s="866">
        <f t="shared" ref="R65:R68" si="72">+N65+O65+P65+Q65</f>
        <v>0.68199999999999994</v>
      </c>
      <c r="S65" s="208">
        <f t="shared" ref="S65:S68" si="73">+R65+M65</f>
        <v>1.137</v>
      </c>
      <c r="T65" s="152">
        <v>1</v>
      </c>
      <c r="U65" s="152">
        <v>1</v>
      </c>
      <c r="V65" s="152">
        <f>+T65*E65</f>
        <v>0.3</v>
      </c>
      <c r="W65" s="152">
        <f t="shared" ref="W65:W68" si="74">+U65*E65</f>
        <v>0.3</v>
      </c>
      <c r="X65" s="152">
        <f>+M65/F65</f>
        <v>0.45500000000000002</v>
      </c>
      <c r="Y65" s="197">
        <v>1</v>
      </c>
      <c r="Z65" s="197">
        <f>+X65*E65</f>
        <v>0.13650000000000001</v>
      </c>
      <c r="AA65" s="197">
        <f>+Y65*E65</f>
        <v>0.3</v>
      </c>
    </row>
    <row r="66" spans="1:27" ht="145.19999999999999" customHeight="1" thickBot="1" x14ac:dyDescent="0.4">
      <c r="A66" s="110"/>
      <c r="B66" s="140" t="s">
        <v>853</v>
      </c>
      <c r="C66" s="202" t="s">
        <v>1308</v>
      </c>
      <c r="D66" s="191" t="s">
        <v>1506</v>
      </c>
      <c r="E66" s="195">
        <v>0.2</v>
      </c>
      <c r="F66" s="193">
        <v>4</v>
      </c>
      <c r="G66" s="203">
        <v>1</v>
      </c>
      <c r="H66" s="203">
        <v>1</v>
      </c>
      <c r="I66" s="209">
        <f>+G66/F66</f>
        <v>0.25</v>
      </c>
      <c r="J66" s="209">
        <f t="shared" si="71"/>
        <v>0.25</v>
      </c>
      <c r="K66" s="209">
        <f>+(G66/F66)*E66</f>
        <v>0.05</v>
      </c>
      <c r="L66" s="209">
        <f t="shared" si="65"/>
        <v>0.05</v>
      </c>
      <c r="M66" s="208">
        <v>1</v>
      </c>
      <c r="N66" s="551">
        <v>0.05</v>
      </c>
      <c r="O66" s="551">
        <v>0.02</v>
      </c>
      <c r="P66" s="551">
        <v>0.91</v>
      </c>
      <c r="Q66" s="208"/>
      <c r="R66" s="208">
        <f t="shared" si="72"/>
        <v>0.98</v>
      </c>
      <c r="S66" s="208">
        <f t="shared" si="73"/>
        <v>1.98</v>
      </c>
      <c r="T66" s="152">
        <f>+(M66/G66)</f>
        <v>1</v>
      </c>
      <c r="U66" s="152">
        <f t="shared" ref="U66:U67" si="75">+R66/H66</f>
        <v>0.98</v>
      </c>
      <c r="V66" s="152">
        <f>+T66*E66</f>
        <v>0.2</v>
      </c>
      <c r="W66" s="152">
        <f t="shared" si="74"/>
        <v>0.19600000000000001</v>
      </c>
      <c r="X66" s="152">
        <f>+M66/F66</f>
        <v>0.25</v>
      </c>
      <c r="Y66" s="197">
        <f t="shared" ref="Y66:Y68" si="76">+S66/F66</f>
        <v>0.495</v>
      </c>
      <c r="Z66" s="197">
        <f>+X66*E66</f>
        <v>0.05</v>
      </c>
      <c r="AA66" s="197">
        <f>+Y66*E66</f>
        <v>9.9000000000000005E-2</v>
      </c>
    </row>
    <row r="67" spans="1:27" ht="85.2" customHeight="1" thickBot="1" x14ac:dyDescent="0.4">
      <c r="A67" s="110"/>
      <c r="B67" s="140" t="s">
        <v>854</v>
      </c>
      <c r="C67" s="202" t="s">
        <v>1309</v>
      </c>
      <c r="D67" s="191" t="s">
        <v>852</v>
      </c>
      <c r="E67" s="195">
        <v>0.3</v>
      </c>
      <c r="F67" s="193">
        <v>33</v>
      </c>
      <c r="G67" s="130">
        <v>6</v>
      </c>
      <c r="H67" s="130">
        <v>9</v>
      </c>
      <c r="I67" s="136">
        <f>+G67/F67</f>
        <v>0.18181818181818182</v>
      </c>
      <c r="J67" s="136">
        <f t="shared" si="71"/>
        <v>0.27272727272727271</v>
      </c>
      <c r="K67" s="136">
        <f>+(G67/F67)*E67</f>
        <v>5.4545454545454543E-2</v>
      </c>
      <c r="L67" s="136">
        <f t="shared" si="65"/>
        <v>8.1818181818181804E-2</v>
      </c>
      <c r="M67" s="164">
        <v>6</v>
      </c>
      <c r="N67" s="551">
        <v>2</v>
      </c>
      <c r="O67" s="551">
        <v>0.5</v>
      </c>
      <c r="P67" s="551">
        <v>0.5</v>
      </c>
      <c r="Q67" s="164"/>
      <c r="R67" s="164">
        <f t="shared" si="72"/>
        <v>3</v>
      </c>
      <c r="S67" s="164">
        <f t="shared" si="73"/>
        <v>9</v>
      </c>
      <c r="T67" s="152">
        <f>+(M67/G67)</f>
        <v>1</v>
      </c>
      <c r="U67" s="152">
        <f t="shared" si="75"/>
        <v>0.33333333333333331</v>
      </c>
      <c r="V67" s="152">
        <f>+T67*E67</f>
        <v>0.3</v>
      </c>
      <c r="W67" s="152">
        <f t="shared" si="74"/>
        <v>9.9999999999999992E-2</v>
      </c>
      <c r="X67" s="152">
        <f>+M67/F67</f>
        <v>0.18181818181818182</v>
      </c>
      <c r="Y67" s="197">
        <f t="shared" si="76"/>
        <v>0.27272727272727271</v>
      </c>
      <c r="Z67" s="197">
        <f>+X67*E67</f>
        <v>5.4545454545454543E-2</v>
      </c>
      <c r="AA67" s="197">
        <f>+Y67*E67</f>
        <v>8.1818181818181804E-2</v>
      </c>
    </row>
    <row r="68" spans="1:27" ht="90" customHeight="1" thickBot="1" x14ac:dyDescent="0.4">
      <c r="A68" s="110"/>
      <c r="B68" s="800" t="s">
        <v>855</v>
      </c>
      <c r="C68" s="801" t="s">
        <v>1310</v>
      </c>
      <c r="D68" s="191" t="s">
        <v>852</v>
      </c>
      <c r="E68" s="195">
        <v>0.2</v>
      </c>
      <c r="F68" s="193">
        <v>1</v>
      </c>
      <c r="G68" s="210">
        <v>0.25</v>
      </c>
      <c r="H68" s="210">
        <v>0.25</v>
      </c>
      <c r="I68" s="136">
        <f>+G68/F68</f>
        <v>0.25</v>
      </c>
      <c r="J68" s="136">
        <f t="shared" si="71"/>
        <v>0.25</v>
      </c>
      <c r="K68" s="136">
        <f>+(G68/F68)*E68</f>
        <v>0.05</v>
      </c>
      <c r="L68" s="136">
        <f t="shared" si="65"/>
        <v>0.05</v>
      </c>
      <c r="M68" s="164">
        <v>0.4</v>
      </c>
      <c r="N68" s="551">
        <v>0.02</v>
      </c>
      <c r="O68" s="551">
        <v>0</v>
      </c>
      <c r="P68" s="551">
        <v>0.24</v>
      </c>
      <c r="Q68" s="164"/>
      <c r="R68" s="164">
        <f t="shared" si="72"/>
        <v>0.26</v>
      </c>
      <c r="S68" s="164">
        <f t="shared" si="73"/>
        <v>0.66</v>
      </c>
      <c r="T68" s="152">
        <v>1</v>
      </c>
      <c r="U68" s="152">
        <v>1</v>
      </c>
      <c r="V68" s="152">
        <f>+T68*E68</f>
        <v>0.2</v>
      </c>
      <c r="W68" s="152">
        <f t="shared" si="74"/>
        <v>0.2</v>
      </c>
      <c r="X68" s="152">
        <f>+M68/F68</f>
        <v>0.4</v>
      </c>
      <c r="Y68" s="197">
        <f t="shared" si="76"/>
        <v>0.66</v>
      </c>
      <c r="Z68" s="197">
        <f>+X68*E68</f>
        <v>8.0000000000000016E-2</v>
      </c>
      <c r="AA68" s="197">
        <f>+Y68*E68</f>
        <v>0.13200000000000001</v>
      </c>
    </row>
    <row r="69" spans="1:27" ht="28.5" customHeight="1" thickBot="1" x14ac:dyDescent="0.4">
      <c r="A69" s="110"/>
      <c r="B69" s="970" t="s">
        <v>1738</v>
      </c>
      <c r="C69" s="981"/>
      <c r="D69" s="198"/>
      <c r="E69" s="199">
        <v>0.15</v>
      </c>
      <c r="F69" s="193"/>
      <c r="G69" s="123"/>
      <c r="H69" s="123"/>
      <c r="I69" s="129">
        <f>+AVERAGE(I70:I72)</f>
        <v>0.26306543697848045</v>
      </c>
      <c r="J69" s="129">
        <f>+AVERAGE(J70:J72)</f>
        <v>0.29907773386034253</v>
      </c>
      <c r="K69" s="129">
        <f>+K70+K71+K72</f>
        <v>0.30629776021080368</v>
      </c>
      <c r="L69" s="129">
        <f>+L70+L71+L72</f>
        <v>0.31665349143610011</v>
      </c>
      <c r="M69" s="128"/>
      <c r="N69" s="128"/>
      <c r="O69" s="128"/>
      <c r="P69" s="128"/>
      <c r="Q69" s="128"/>
      <c r="R69" s="128"/>
      <c r="S69" s="128"/>
      <c r="T69" s="150">
        <f>+AVERAGE(T70:T72)</f>
        <v>1</v>
      </c>
      <c r="U69" s="150">
        <f>+AVERAGE(U70:U72)</f>
        <v>0.94444444444444453</v>
      </c>
      <c r="V69" s="150">
        <f>+(V70+V71+V72)*E69</f>
        <v>0.15</v>
      </c>
      <c r="W69" s="150">
        <f>+(W70+W71+W72)*E69</f>
        <v>0.14549999999999999</v>
      </c>
      <c r="X69" s="129">
        <f>+AVERAGE(X70:X72)</f>
        <v>0.38614404918752743</v>
      </c>
      <c r="Y69" s="129">
        <f>+AVERAGE(Y70:Y72)</f>
        <v>0.74396135265700469</v>
      </c>
      <c r="Z69" s="189">
        <f>+(Z70+Z71+Z72)*E69</f>
        <v>5.2982213438735173E-2</v>
      </c>
      <c r="AA69" s="189">
        <f>+(AA70+AA71+AA72)</f>
        <v>0.68840579710144922</v>
      </c>
    </row>
    <row r="70" spans="1:27" ht="175.2" customHeight="1" thickBot="1" x14ac:dyDescent="0.4">
      <c r="A70" s="110"/>
      <c r="B70" s="800" t="s">
        <v>856</v>
      </c>
      <c r="C70" s="801" t="s">
        <v>1311</v>
      </c>
      <c r="D70" s="204" t="s">
        <v>1507</v>
      </c>
      <c r="E70" s="195">
        <v>0.18</v>
      </c>
      <c r="F70" s="193">
        <v>23</v>
      </c>
      <c r="G70" s="130">
        <f>2+5</f>
        <v>7</v>
      </c>
      <c r="H70" s="130">
        <f>2+4</f>
        <v>6</v>
      </c>
      <c r="I70" s="136">
        <f>+G70/F70</f>
        <v>0.30434782608695654</v>
      </c>
      <c r="J70" s="136">
        <f t="shared" ref="J70:J72" si="77">+H70/F70</f>
        <v>0.2608695652173913</v>
      </c>
      <c r="K70" s="136">
        <f>+(G70/F70)*E70</f>
        <v>5.4782608695652178E-2</v>
      </c>
      <c r="L70" s="136">
        <f t="shared" si="65"/>
        <v>4.6956521739130432E-2</v>
      </c>
      <c r="M70" s="130">
        <v>8</v>
      </c>
      <c r="N70" s="550">
        <v>3</v>
      </c>
      <c r="O70" s="551">
        <v>1</v>
      </c>
      <c r="P70" s="550">
        <v>1</v>
      </c>
      <c r="Q70" s="130"/>
      <c r="R70" s="130">
        <f t="shared" ref="R70:R72" si="78">+N70+O70+P70+Q70</f>
        <v>5</v>
      </c>
      <c r="S70" s="130">
        <f t="shared" ref="S70:S72" si="79">+R70+M70</f>
        <v>13</v>
      </c>
      <c r="T70" s="152">
        <v>1</v>
      </c>
      <c r="U70" s="152">
        <f t="shared" ref="U70:U72" si="80">+R70/H70</f>
        <v>0.83333333333333337</v>
      </c>
      <c r="V70" s="152">
        <f>+T70*E70</f>
        <v>0.18</v>
      </c>
      <c r="W70" s="152">
        <f t="shared" ref="W70:W72" si="81">+U70*E70</f>
        <v>0.15</v>
      </c>
      <c r="X70" s="152">
        <f>+M70/F70</f>
        <v>0.34782608695652173</v>
      </c>
      <c r="Y70" s="197">
        <f t="shared" ref="Y70:Y72" si="82">+S70/F70</f>
        <v>0.56521739130434778</v>
      </c>
      <c r="Z70" s="197">
        <f>+X70*E70</f>
        <v>6.2608695652173904E-2</v>
      </c>
      <c r="AA70" s="197">
        <f>+Y70*E70</f>
        <v>0.1017391304347826</v>
      </c>
    </row>
    <row r="71" spans="1:27" ht="85.95" customHeight="1" thickBot="1" x14ac:dyDescent="0.4">
      <c r="A71" s="110"/>
      <c r="B71" s="140" t="s">
        <v>857</v>
      </c>
      <c r="C71" s="202" t="s">
        <v>1312</v>
      </c>
      <c r="D71" s="191" t="s">
        <v>852</v>
      </c>
      <c r="E71" s="195">
        <v>0.12</v>
      </c>
      <c r="F71" s="193">
        <v>132</v>
      </c>
      <c r="G71" s="130">
        <v>20</v>
      </c>
      <c r="H71" s="130">
        <v>40</v>
      </c>
      <c r="I71" s="136">
        <f>+G71/F71</f>
        <v>0.15151515151515152</v>
      </c>
      <c r="J71" s="136">
        <f t="shared" si="77"/>
        <v>0.30303030303030304</v>
      </c>
      <c r="K71" s="136">
        <f>+(G71/F71)*E71</f>
        <v>1.8181818181818181E-2</v>
      </c>
      <c r="L71" s="136">
        <f t="shared" si="65"/>
        <v>3.6363636363636362E-2</v>
      </c>
      <c r="M71" s="130">
        <v>63</v>
      </c>
      <c r="N71" s="550">
        <v>17</v>
      </c>
      <c r="O71" s="550">
        <v>29</v>
      </c>
      <c r="P71" s="550">
        <v>32</v>
      </c>
      <c r="Q71" s="130"/>
      <c r="R71" s="130">
        <f t="shared" si="78"/>
        <v>78</v>
      </c>
      <c r="S71" s="130">
        <f t="shared" si="79"/>
        <v>141</v>
      </c>
      <c r="T71" s="152">
        <v>1</v>
      </c>
      <c r="U71" s="152">
        <v>1</v>
      </c>
      <c r="V71" s="152">
        <f>+T71*E71</f>
        <v>0.12</v>
      </c>
      <c r="W71" s="152">
        <f t="shared" si="81"/>
        <v>0.12</v>
      </c>
      <c r="X71" s="152">
        <f>+M71/F71</f>
        <v>0.47727272727272729</v>
      </c>
      <c r="Y71" s="197">
        <v>1</v>
      </c>
      <c r="Z71" s="197">
        <f>+X71*E71</f>
        <v>5.7272727272727274E-2</v>
      </c>
      <c r="AA71" s="197">
        <f>+Y71*E71</f>
        <v>0.12</v>
      </c>
    </row>
    <row r="72" spans="1:27" ht="70.2" customHeight="1" thickBot="1" x14ac:dyDescent="0.4">
      <c r="A72" s="110"/>
      <c r="B72" s="133" t="s">
        <v>858</v>
      </c>
      <c r="C72" s="190" t="s">
        <v>1313</v>
      </c>
      <c r="D72" s="191" t="s">
        <v>825</v>
      </c>
      <c r="E72" s="195">
        <v>0.7</v>
      </c>
      <c r="F72" s="193">
        <v>3</v>
      </c>
      <c r="G72" s="130">
        <v>1</v>
      </c>
      <c r="H72" s="130">
        <v>1</v>
      </c>
      <c r="I72" s="136">
        <f>+G72/F72</f>
        <v>0.33333333333333331</v>
      </c>
      <c r="J72" s="136">
        <f t="shared" si="77"/>
        <v>0.33333333333333331</v>
      </c>
      <c r="K72" s="136">
        <f>+(G72/F72)*E72</f>
        <v>0.23333333333333331</v>
      </c>
      <c r="L72" s="136">
        <f t="shared" si="65"/>
        <v>0.23333333333333331</v>
      </c>
      <c r="M72" s="130">
        <v>1</v>
      </c>
      <c r="N72" s="550">
        <v>1</v>
      </c>
      <c r="O72" s="550">
        <v>0</v>
      </c>
      <c r="P72" s="550">
        <v>0</v>
      </c>
      <c r="Q72" s="130"/>
      <c r="R72" s="130">
        <f t="shared" si="78"/>
        <v>1</v>
      </c>
      <c r="S72" s="130">
        <f t="shared" si="79"/>
        <v>2</v>
      </c>
      <c r="T72" s="152">
        <f>+(M72/G72)</f>
        <v>1</v>
      </c>
      <c r="U72" s="152">
        <f t="shared" si="80"/>
        <v>1</v>
      </c>
      <c r="V72" s="152">
        <f>+T72*E72</f>
        <v>0.7</v>
      </c>
      <c r="W72" s="152">
        <f t="shared" si="81"/>
        <v>0.7</v>
      </c>
      <c r="X72" s="152">
        <f>+M72/F72</f>
        <v>0.33333333333333331</v>
      </c>
      <c r="Y72" s="197">
        <f t="shared" si="82"/>
        <v>0.66666666666666663</v>
      </c>
      <c r="Z72" s="197">
        <f>+X72*E72</f>
        <v>0.23333333333333331</v>
      </c>
      <c r="AA72" s="197">
        <f>+Y72*E72</f>
        <v>0.46666666666666662</v>
      </c>
    </row>
    <row r="73" spans="1:27" ht="28.5" customHeight="1" thickBot="1" x14ac:dyDescent="0.4">
      <c r="A73" s="110"/>
      <c r="B73" s="970" t="s">
        <v>1664</v>
      </c>
      <c r="C73" s="981"/>
      <c r="D73" s="198"/>
      <c r="E73" s="199">
        <v>0.2</v>
      </c>
      <c r="F73" s="193"/>
      <c r="G73" s="123"/>
      <c r="H73" s="123"/>
      <c r="I73" s="129">
        <f>+AVERAGE(I74:I76)</f>
        <v>0.25</v>
      </c>
      <c r="J73" s="129">
        <f>+AVERAGE(J74:J76)</f>
        <v>0.25</v>
      </c>
      <c r="K73" s="129">
        <f>+K74+K75+K76</f>
        <v>0.25</v>
      </c>
      <c r="L73" s="129">
        <f>+L74+L75+L76</f>
        <v>0.25</v>
      </c>
      <c r="M73" s="128"/>
      <c r="N73" s="128"/>
      <c r="O73" s="128"/>
      <c r="P73" s="128"/>
      <c r="Q73" s="128"/>
      <c r="R73" s="128"/>
      <c r="S73" s="128"/>
      <c r="T73" s="150">
        <f>+AVERAGE(T74:T76)</f>
        <v>0.75190804597701144</v>
      </c>
      <c r="U73" s="150">
        <f>+AVERAGE(U74:U76)</f>
        <v>0.52266666666666672</v>
      </c>
      <c r="V73" s="150">
        <f>+(V74+V75+V76)*E73</f>
        <v>0.13870344827586209</v>
      </c>
      <c r="W73" s="150">
        <f>+(W74+W75+W76)*E73</f>
        <v>0.10720000000000002</v>
      </c>
      <c r="X73" s="129">
        <f>+AVERAGE(X74:X76)</f>
        <v>0.35297701149425292</v>
      </c>
      <c r="Y73" s="129">
        <f>+AVERAGE(Y74:Y76)</f>
        <v>0.56870114942528727</v>
      </c>
      <c r="Z73" s="189">
        <f>+(Z74+Z75+Z76)*E73</f>
        <v>5.4475862068965514E-2</v>
      </c>
      <c r="AA73" s="189">
        <f>+(AA74+AA75+AA76)</f>
        <v>0.48293103448275865</v>
      </c>
    </row>
    <row r="74" spans="1:27" ht="88.95" customHeight="1" thickBot="1" x14ac:dyDescent="0.4">
      <c r="A74" s="110"/>
      <c r="B74" s="800" t="s">
        <v>859</v>
      </c>
      <c r="C74" s="801" t="s">
        <v>1314</v>
      </c>
      <c r="D74" s="191" t="s">
        <v>852</v>
      </c>
      <c r="E74" s="195">
        <v>0.2</v>
      </c>
      <c r="F74" s="193">
        <v>1</v>
      </c>
      <c r="G74" s="211">
        <v>0.25</v>
      </c>
      <c r="H74" s="211">
        <v>0.25</v>
      </c>
      <c r="I74" s="136">
        <f>+G74/F74</f>
        <v>0.25</v>
      </c>
      <c r="J74" s="136">
        <f t="shared" ref="J74:J76" si="83">+H74/F74</f>
        <v>0.25</v>
      </c>
      <c r="K74" s="136">
        <f>+(G74/F74)*E74</f>
        <v>0.05</v>
      </c>
      <c r="L74" s="136">
        <f t="shared" si="65"/>
        <v>0.05</v>
      </c>
      <c r="M74" s="105">
        <v>0.745</v>
      </c>
      <c r="N74" s="552">
        <v>0.03</v>
      </c>
      <c r="O74" s="552">
        <v>0.01</v>
      </c>
      <c r="P74" s="552">
        <v>0</v>
      </c>
      <c r="Q74" s="105"/>
      <c r="R74" s="105">
        <f t="shared" ref="R74:R76" si="84">+N74+O74+P74+Q74</f>
        <v>0.04</v>
      </c>
      <c r="S74" s="105">
        <f t="shared" ref="S74:S76" si="85">+R74+M74</f>
        <v>0.78500000000000003</v>
      </c>
      <c r="T74" s="152">
        <v>1</v>
      </c>
      <c r="U74" s="152">
        <f t="shared" ref="U74:U75" si="86">+R74/H74</f>
        <v>0.16</v>
      </c>
      <c r="V74" s="152">
        <f>+T74*E74</f>
        <v>0.2</v>
      </c>
      <c r="W74" s="152">
        <f>+U74*E74</f>
        <v>3.2000000000000001E-2</v>
      </c>
      <c r="X74" s="152">
        <f>+M74/F74</f>
        <v>0.745</v>
      </c>
      <c r="Y74" s="197">
        <f t="shared" ref="Y74:Y76" si="87">+S74/F74</f>
        <v>0.78500000000000003</v>
      </c>
      <c r="Z74" s="194">
        <f>+X74*E74</f>
        <v>0.14899999999999999</v>
      </c>
      <c r="AA74" s="194">
        <f>+Y74*E74</f>
        <v>0.15700000000000003</v>
      </c>
    </row>
    <row r="75" spans="1:27" ht="78" customHeight="1" thickBot="1" x14ac:dyDescent="0.4">
      <c r="A75" s="110"/>
      <c r="B75" s="133" t="s">
        <v>860</v>
      </c>
      <c r="C75" s="190" t="s">
        <v>1315</v>
      </c>
      <c r="D75" s="191" t="s">
        <v>852</v>
      </c>
      <c r="E75" s="195">
        <v>0.5</v>
      </c>
      <c r="F75" s="193">
        <v>2000</v>
      </c>
      <c r="G75" s="211">
        <v>500</v>
      </c>
      <c r="H75" s="211">
        <v>500</v>
      </c>
      <c r="I75" s="136">
        <f>+G75/F75</f>
        <v>0.25</v>
      </c>
      <c r="J75" s="136">
        <f t="shared" si="83"/>
        <v>0.25</v>
      </c>
      <c r="K75" s="136">
        <f>+(G75/F75)*E75</f>
        <v>0.125</v>
      </c>
      <c r="L75" s="136">
        <f t="shared" si="65"/>
        <v>0.125</v>
      </c>
      <c r="M75" s="105">
        <v>292</v>
      </c>
      <c r="N75" s="552">
        <v>49</v>
      </c>
      <c r="O75" s="552">
        <v>81</v>
      </c>
      <c r="P75" s="552">
        <v>74</v>
      </c>
      <c r="Q75" s="105"/>
      <c r="R75" s="105">
        <f t="shared" si="84"/>
        <v>204</v>
      </c>
      <c r="S75" s="105">
        <f t="shared" si="85"/>
        <v>496</v>
      </c>
      <c r="T75" s="136">
        <f>+(M75/G75)</f>
        <v>0.58399999999999996</v>
      </c>
      <c r="U75" s="136">
        <f t="shared" si="86"/>
        <v>0.40799999999999997</v>
      </c>
      <c r="V75" s="136">
        <f>+T75*E75</f>
        <v>0.29199999999999998</v>
      </c>
      <c r="W75" s="136">
        <f t="shared" ref="W75:W76" si="88">+U75*E75</f>
        <v>0.20399999999999999</v>
      </c>
      <c r="X75" s="136">
        <f>+M75/F75</f>
        <v>0.14599999999999999</v>
      </c>
      <c r="Y75" s="194">
        <f>+S75/F75</f>
        <v>0.248</v>
      </c>
      <c r="Z75" s="194">
        <f>+X75*E75</f>
        <v>7.2999999999999995E-2</v>
      </c>
      <c r="AA75" s="194">
        <f>+Y75*E75</f>
        <v>0.124</v>
      </c>
    </row>
    <row r="76" spans="1:27" ht="106.95" customHeight="1" thickBot="1" x14ac:dyDescent="0.4">
      <c r="A76" s="110"/>
      <c r="B76" s="800" t="s">
        <v>861</v>
      </c>
      <c r="C76" s="801" t="s">
        <v>1316</v>
      </c>
      <c r="D76" s="191" t="s">
        <v>852</v>
      </c>
      <c r="E76" s="195">
        <v>0.3</v>
      </c>
      <c r="F76" s="193">
        <f>1450*4</f>
        <v>5800</v>
      </c>
      <c r="G76" s="211">
        <v>1450</v>
      </c>
      <c r="H76" s="211">
        <v>1450</v>
      </c>
      <c r="I76" s="136">
        <f>+G76/F76</f>
        <v>0.25</v>
      </c>
      <c r="J76" s="136">
        <f t="shared" si="83"/>
        <v>0.25</v>
      </c>
      <c r="K76" s="136">
        <f>+(G76/F76)*E76</f>
        <v>7.4999999999999997E-2</v>
      </c>
      <c r="L76" s="136">
        <f t="shared" si="65"/>
        <v>7.4999999999999997E-2</v>
      </c>
      <c r="M76" s="105">
        <v>974</v>
      </c>
      <c r="N76" s="552">
        <v>974</v>
      </c>
      <c r="O76" s="552">
        <v>988</v>
      </c>
      <c r="P76" s="552">
        <v>968</v>
      </c>
      <c r="Q76" s="105"/>
      <c r="R76" s="105">
        <f t="shared" si="84"/>
        <v>2930</v>
      </c>
      <c r="S76" s="105">
        <f t="shared" si="85"/>
        <v>3904</v>
      </c>
      <c r="T76" s="152">
        <f>+(M76/G76)</f>
        <v>0.67172413793103447</v>
      </c>
      <c r="U76" s="152">
        <v>1</v>
      </c>
      <c r="V76" s="152">
        <f>+T76*E76</f>
        <v>0.20151724137931035</v>
      </c>
      <c r="W76" s="152">
        <f t="shared" si="88"/>
        <v>0.3</v>
      </c>
      <c r="X76" s="152">
        <f>+M76/F76</f>
        <v>0.16793103448275862</v>
      </c>
      <c r="Y76" s="197">
        <f t="shared" si="87"/>
        <v>0.6731034482758621</v>
      </c>
      <c r="Z76" s="194">
        <f>+X76*E76</f>
        <v>5.0379310344827587E-2</v>
      </c>
      <c r="AA76" s="194">
        <f>+Y76*E76</f>
        <v>0.20193103448275862</v>
      </c>
    </row>
    <row r="77" spans="1:27" ht="28.5" customHeight="1" thickBot="1" x14ac:dyDescent="0.4">
      <c r="A77" s="110"/>
      <c r="B77" s="970" t="s">
        <v>1739</v>
      </c>
      <c r="C77" s="981"/>
      <c r="D77" s="198"/>
      <c r="E77" s="199">
        <v>0.25</v>
      </c>
      <c r="F77" s="193"/>
      <c r="G77" s="123"/>
      <c r="H77" s="123"/>
      <c r="I77" s="129">
        <f>+AVERAGE(I78)</f>
        <v>0.14285714285714285</v>
      </c>
      <c r="J77" s="129">
        <f>+AVERAGE(J78)</f>
        <v>0.17142857142857143</v>
      </c>
      <c r="K77" s="129">
        <f>+K78</f>
        <v>0.14285714285714285</v>
      </c>
      <c r="L77" s="129">
        <f>+L78</f>
        <v>0.17142857142857143</v>
      </c>
      <c r="M77" s="128"/>
      <c r="N77" s="128"/>
      <c r="O77" s="128"/>
      <c r="P77" s="128"/>
      <c r="Q77" s="128"/>
      <c r="R77" s="128"/>
      <c r="S77" s="128"/>
      <c r="T77" s="150">
        <f>+AVERAGE(T78)</f>
        <v>0.8</v>
      </c>
      <c r="U77" s="150">
        <f>+AVERAGE(U78)</f>
        <v>0.6</v>
      </c>
      <c r="V77" s="150">
        <f>+(V78)*E77</f>
        <v>0.2</v>
      </c>
      <c r="W77" s="150">
        <f>+(W78)*E77</f>
        <v>0.15</v>
      </c>
      <c r="X77" s="129">
        <f>+AVERAGE(X78)</f>
        <v>0.1142857142857143</v>
      </c>
      <c r="Y77" s="129">
        <f>+AVERAGE(Y78)</f>
        <v>0.21714285714285714</v>
      </c>
      <c r="Z77" s="189">
        <f>+(Z78)*E77</f>
        <v>2.8571428571428574E-2</v>
      </c>
      <c r="AA77" s="189">
        <f>+(AA78)</f>
        <v>0.21714285714285714</v>
      </c>
    </row>
    <row r="78" spans="1:27" ht="67.2" customHeight="1" thickBot="1" x14ac:dyDescent="0.4">
      <c r="A78" s="110"/>
      <c r="B78" s="133" t="s">
        <v>862</v>
      </c>
      <c r="C78" s="190" t="s">
        <v>1317</v>
      </c>
      <c r="D78" s="198" t="s">
        <v>863</v>
      </c>
      <c r="E78" s="195">
        <v>1</v>
      </c>
      <c r="F78" s="193">
        <v>7</v>
      </c>
      <c r="G78" s="130">
        <v>1</v>
      </c>
      <c r="H78" s="130">
        <v>1.2</v>
      </c>
      <c r="I78" s="136">
        <f>+G78/F78</f>
        <v>0.14285714285714285</v>
      </c>
      <c r="J78" s="136">
        <f t="shared" ref="J78" si="89">+H78/F78</f>
        <v>0.17142857142857143</v>
      </c>
      <c r="K78" s="136">
        <f>+(G78/F78)*E78</f>
        <v>0.14285714285714285</v>
      </c>
      <c r="L78" s="136">
        <f t="shared" si="65"/>
        <v>0.17142857142857143</v>
      </c>
      <c r="M78" s="130">
        <v>0.8</v>
      </c>
      <c r="N78" s="550">
        <v>0.2</v>
      </c>
      <c r="O78" s="550">
        <v>0.1</v>
      </c>
      <c r="P78" s="550">
        <v>0.42</v>
      </c>
      <c r="Q78" s="130"/>
      <c r="R78" s="130">
        <f t="shared" ref="R78" si="90">+N78+O78+P78+Q78</f>
        <v>0.72</v>
      </c>
      <c r="S78" s="130">
        <f t="shared" ref="S78" si="91">+R78+M78</f>
        <v>1.52</v>
      </c>
      <c r="T78" s="152">
        <f>+(M78/G78)</f>
        <v>0.8</v>
      </c>
      <c r="U78" s="152">
        <f>+R78/H78</f>
        <v>0.6</v>
      </c>
      <c r="V78" s="152">
        <f>+T78*E78</f>
        <v>0.8</v>
      </c>
      <c r="W78" s="152">
        <f t="shared" ref="W78" si="92">+U78*E78</f>
        <v>0.6</v>
      </c>
      <c r="X78" s="152">
        <f>+M78/F78</f>
        <v>0.1142857142857143</v>
      </c>
      <c r="Y78" s="197">
        <f>+S78/F78</f>
        <v>0.21714285714285714</v>
      </c>
      <c r="Z78" s="197">
        <f>+X78*E78</f>
        <v>0.1142857142857143</v>
      </c>
      <c r="AA78" s="197">
        <f>+Y78*E78</f>
        <v>0.21714285714285714</v>
      </c>
    </row>
    <row r="79" spans="1:27" ht="57" customHeight="1" thickBot="1" x14ac:dyDescent="0.4">
      <c r="A79" s="110"/>
      <c r="B79" s="970" t="s">
        <v>1666</v>
      </c>
      <c r="C79" s="981"/>
      <c r="D79" s="198"/>
      <c r="E79" s="199">
        <v>0.15</v>
      </c>
      <c r="F79" s="193"/>
      <c r="G79" s="123"/>
      <c r="H79" s="123"/>
      <c r="I79" s="129">
        <f>+AVERAGE(I80:I81)</f>
        <v>0.32500000000000001</v>
      </c>
      <c r="J79" s="129">
        <f>+AVERAGE(J80:J81)</f>
        <v>0.22500000000000001</v>
      </c>
      <c r="K79" s="129">
        <f>+K80+K81</f>
        <v>0.35499999999999998</v>
      </c>
      <c r="L79" s="129">
        <f>+L80+L81</f>
        <v>0.21499999999999997</v>
      </c>
      <c r="M79" s="128"/>
      <c r="N79" s="128"/>
      <c r="O79" s="128"/>
      <c r="P79" s="128"/>
      <c r="Q79" s="128"/>
      <c r="R79" s="128"/>
      <c r="S79" s="128"/>
      <c r="T79" s="150">
        <f>+AVERAGE(T80:T81)</f>
        <v>0.94</v>
      </c>
      <c r="U79" s="150">
        <f>+AVERAGE(U80:U81)</f>
        <v>0.43999999999999995</v>
      </c>
      <c r="V79" s="150">
        <f>+(V80+V81)*E79</f>
        <v>0.14459999999999998</v>
      </c>
      <c r="W79" s="150">
        <f>+(W80+W81)*E79</f>
        <v>5.1599999999999993E-2</v>
      </c>
      <c r="X79" s="129">
        <f>+AVERAGE(X80:X81)</f>
        <v>0.61</v>
      </c>
      <c r="Y79" s="129">
        <f>+AVERAGE(Y80:Y81)</f>
        <v>0.69500000000000006</v>
      </c>
      <c r="Z79" s="189">
        <f>+(Z80+Z81)*E79</f>
        <v>0.1149</v>
      </c>
      <c r="AA79" s="189">
        <f>+(AA80+AA81)</f>
        <v>0.81699999999999995</v>
      </c>
    </row>
    <row r="80" spans="1:27" ht="117.6" customHeight="1" thickBot="1" x14ac:dyDescent="0.4">
      <c r="A80" s="110"/>
      <c r="B80" s="140" t="s">
        <v>864</v>
      </c>
      <c r="C80" s="202" t="s">
        <v>1318</v>
      </c>
      <c r="D80" s="198" t="s">
        <v>1495</v>
      </c>
      <c r="E80" s="195">
        <v>0.3</v>
      </c>
      <c r="F80" s="193">
        <v>1</v>
      </c>
      <c r="G80" s="130">
        <v>0.25</v>
      </c>
      <c r="H80" s="130">
        <v>0.25</v>
      </c>
      <c r="I80" s="136">
        <f>+G80/F80</f>
        <v>0.25</v>
      </c>
      <c r="J80" s="136">
        <f t="shared" ref="J80:J81" si="93">+H80/F80</f>
        <v>0.25</v>
      </c>
      <c r="K80" s="136">
        <f>+(G80/F80)*E80</f>
        <v>7.4999999999999997E-2</v>
      </c>
      <c r="L80" s="136">
        <f t="shared" si="65"/>
        <v>7.4999999999999997E-2</v>
      </c>
      <c r="M80" s="130">
        <v>0.22</v>
      </c>
      <c r="N80" s="550">
        <v>0.05</v>
      </c>
      <c r="O80" s="550">
        <v>0.12</v>
      </c>
      <c r="P80" s="550">
        <v>0</v>
      </c>
      <c r="Q80" s="130"/>
      <c r="R80" s="130">
        <f t="shared" ref="R80:R81" si="94">+N80+O80+P80+Q80</f>
        <v>0.16999999999999998</v>
      </c>
      <c r="S80" s="130">
        <f t="shared" ref="S80:S81" si="95">+R80+M80</f>
        <v>0.39</v>
      </c>
      <c r="T80" s="152">
        <f>+(M80/G80)</f>
        <v>0.88</v>
      </c>
      <c r="U80" s="152">
        <f t="shared" ref="U80:U81" si="96">+R80/H80</f>
        <v>0.67999999999999994</v>
      </c>
      <c r="V80" s="152">
        <f>+T80*E80</f>
        <v>0.26400000000000001</v>
      </c>
      <c r="W80" s="152">
        <f t="shared" ref="W80:W81" si="97">+U80*E80</f>
        <v>0.20399999999999999</v>
      </c>
      <c r="X80" s="152">
        <f>+M80/F80</f>
        <v>0.22</v>
      </c>
      <c r="Y80" s="197">
        <f t="shared" ref="Y80" si="98">+S80/F80</f>
        <v>0.39</v>
      </c>
      <c r="Z80" s="197">
        <f>+X80*E80</f>
        <v>6.6000000000000003E-2</v>
      </c>
      <c r="AA80" s="197">
        <f>+Y80*E80</f>
        <v>0.11699999999999999</v>
      </c>
    </row>
    <row r="81" spans="1:27" ht="85.2" customHeight="1" thickBot="1" x14ac:dyDescent="0.4">
      <c r="A81" s="110"/>
      <c r="B81" s="800" t="s">
        <v>865</v>
      </c>
      <c r="C81" s="801" t="s">
        <v>1319</v>
      </c>
      <c r="D81" s="198" t="s">
        <v>1494</v>
      </c>
      <c r="E81" s="195">
        <v>0.7</v>
      </c>
      <c r="F81" s="193">
        <v>5</v>
      </c>
      <c r="G81" s="130">
        <v>2</v>
      </c>
      <c r="H81" s="203">
        <v>1</v>
      </c>
      <c r="I81" s="136">
        <f>+G81/F81</f>
        <v>0.4</v>
      </c>
      <c r="J81" s="136">
        <f t="shared" si="93"/>
        <v>0.2</v>
      </c>
      <c r="K81" s="136">
        <f>+(G81/F81)*E81</f>
        <v>0.27999999999999997</v>
      </c>
      <c r="L81" s="136">
        <f t="shared" si="65"/>
        <v>0.13999999999999999</v>
      </c>
      <c r="M81" s="130">
        <v>5</v>
      </c>
      <c r="N81" s="550">
        <v>0.1</v>
      </c>
      <c r="O81" s="550">
        <v>0.1</v>
      </c>
      <c r="P81" s="550">
        <v>0</v>
      </c>
      <c r="Q81" s="130"/>
      <c r="R81" s="130">
        <f t="shared" si="94"/>
        <v>0.2</v>
      </c>
      <c r="S81" s="130">
        <f t="shared" si="95"/>
        <v>5.2</v>
      </c>
      <c r="T81" s="152">
        <v>1</v>
      </c>
      <c r="U81" s="152">
        <f t="shared" si="96"/>
        <v>0.2</v>
      </c>
      <c r="V81" s="152">
        <f>+T81*E81</f>
        <v>0.7</v>
      </c>
      <c r="W81" s="152">
        <f t="shared" si="97"/>
        <v>0.13999999999999999</v>
      </c>
      <c r="X81" s="152">
        <f>+M81/F81</f>
        <v>1</v>
      </c>
      <c r="Y81" s="197">
        <v>1</v>
      </c>
      <c r="Z81" s="197">
        <f>+X81*E81</f>
        <v>0.7</v>
      </c>
      <c r="AA81" s="197">
        <f>+Y81*E81</f>
        <v>0.7</v>
      </c>
    </row>
    <row r="82" spans="1:27" ht="78" customHeight="1" thickBot="1" x14ac:dyDescent="0.4">
      <c r="A82" s="110"/>
      <c r="B82" s="976" t="s">
        <v>1740</v>
      </c>
      <c r="C82" s="981"/>
      <c r="D82" s="198"/>
      <c r="E82" s="201">
        <v>0.1</v>
      </c>
      <c r="F82" s="118">
        <f>+E82*V82</f>
        <v>2.0506728571428573E-2</v>
      </c>
      <c r="G82" s="123"/>
      <c r="H82" s="119">
        <f>+E82*W82</f>
        <v>2.9902850000000005E-2</v>
      </c>
      <c r="I82" s="121">
        <f>+(I83+I91+I95)/3</f>
        <v>0.23703703703703705</v>
      </c>
      <c r="J82" s="121">
        <f>+(J83+J91+J95)/3</f>
        <v>0.31190476190476191</v>
      </c>
      <c r="K82" s="122">
        <f>+(K83+K91+K95)/3</f>
        <v>0.17777777777777778</v>
      </c>
      <c r="L82" s="122">
        <f>+(L83+L91+L95)/3</f>
        <v>0.25569444444444445</v>
      </c>
      <c r="M82" s="123"/>
      <c r="N82" s="123"/>
      <c r="O82" s="123"/>
      <c r="P82" s="123"/>
      <c r="Q82" s="123"/>
      <c r="R82" s="123"/>
      <c r="S82" s="123"/>
      <c r="T82" s="121">
        <f>+(T83+T91+T95)/3</f>
        <v>0.43832698412698412</v>
      </c>
      <c r="U82" s="121">
        <f>+(U83+U91+U95)/3</f>
        <v>0.38011587301587296</v>
      </c>
      <c r="V82" s="122">
        <f>+V83+V91+V95</f>
        <v>0.20506728571428573</v>
      </c>
      <c r="W82" s="122">
        <f>+W83+W91+W95</f>
        <v>0.29902850000000003</v>
      </c>
      <c r="X82" s="121">
        <f>(X83+X91+X95)/3</f>
        <v>0.15124841269841269</v>
      </c>
      <c r="Y82" s="121">
        <f>(Y83+Y91+Y95)/3</f>
        <v>0.24555527210884354</v>
      </c>
      <c r="Z82" s="187">
        <f>+(Z83+Z91+Z95)</f>
        <v>6.376682142857143E-2</v>
      </c>
      <c r="AA82" s="187">
        <f>+(AA83*E83+AA91*E91+AA95*E95)</f>
        <v>0.14846144642857145</v>
      </c>
    </row>
    <row r="83" spans="1:27" ht="72" customHeight="1" thickBot="1" x14ac:dyDescent="0.4">
      <c r="A83" s="110"/>
      <c r="B83" s="970" t="s">
        <v>1741</v>
      </c>
      <c r="C83" s="981"/>
      <c r="D83" s="198"/>
      <c r="E83" s="199">
        <v>0.45</v>
      </c>
      <c r="F83" s="193"/>
      <c r="G83" s="123"/>
      <c r="H83" s="123"/>
      <c r="I83" s="129">
        <f>+AVERAGE(I84:I90)</f>
        <v>0.21111111111111111</v>
      </c>
      <c r="J83" s="129">
        <f>+AVERAGE(J84:J90)</f>
        <v>0.39404761904761904</v>
      </c>
      <c r="K83" s="129">
        <f>+K84+K85+K86+K87+K88+K89+K90</f>
        <v>0.15833333333333333</v>
      </c>
      <c r="L83" s="129">
        <f>+L84+L85+L86+L87+L88+L89+L90</f>
        <v>0.29833333333333339</v>
      </c>
      <c r="M83" s="128"/>
      <c r="N83" s="128"/>
      <c r="O83" s="128"/>
      <c r="P83" s="128"/>
      <c r="Q83" s="128"/>
      <c r="R83" s="128"/>
      <c r="S83" s="128"/>
      <c r="T83" s="150">
        <f>+AVERAGE(T84:T90)</f>
        <v>0.31498095238095236</v>
      </c>
      <c r="U83" s="150">
        <f>+AVERAGE(U84:U90)</f>
        <v>0.48701428571428568</v>
      </c>
      <c r="V83" s="150">
        <f>+(V84+V85+V86+V87+V88+V89+V90)*E83</f>
        <v>0.10506728571428571</v>
      </c>
      <c r="W83" s="150">
        <f>+(W84+W85+W86+W87+W88+W89+W90)*E83</f>
        <v>0.21452850000000001</v>
      </c>
      <c r="X83" s="129">
        <f>+AVERAGE(X84:X90)</f>
        <v>7.874523809523809E-2</v>
      </c>
      <c r="Y83" s="129">
        <f>+AVERAGE(Y84:Y90)</f>
        <v>0.1987158163265306</v>
      </c>
      <c r="Z83" s="189">
        <f>+(Z84+Z85+Z86+Z87+Z88+Z89+Z90)*E83</f>
        <v>2.6266821428571428E-2</v>
      </c>
      <c r="AA83" s="189">
        <f>+(AA84+AA85+AA86+AA87+AA88+AA89+AA90)</f>
        <v>0.19005321428571428</v>
      </c>
    </row>
    <row r="84" spans="1:27" ht="94.2" customHeight="1" thickBot="1" x14ac:dyDescent="0.4">
      <c r="A84" s="110"/>
      <c r="B84" s="133" t="s">
        <v>866</v>
      </c>
      <c r="C84" s="190" t="s">
        <v>1320</v>
      </c>
      <c r="D84" s="213" t="s">
        <v>867</v>
      </c>
      <c r="E84" s="195">
        <v>0.1</v>
      </c>
      <c r="F84" s="193">
        <v>1</v>
      </c>
      <c r="G84" s="130">
        <v>0</v>
      </c>
      <c r="H84" s="130">
        <v>0.25</v>
      </c>
      <c r="I84" s="136"/>
      <c r="J84" s="136">
        <f>+H84/F84</f>
        <v>0.25</v>
      </c>
      <c r="K84" s="136"/>
      <c r="L84" s="136">
        <f t="shared" ref="L84:L90" si="99">+(H84/F84)*E84</f>
        <v>2.5000000000000001E-2</v>
      </c>
      <c r="M84" s="130"/>
      <c r="N84" s="550">
        <v>0.05</v>
      </c>
      <c r="O84" s="550">
        <v>0.12</v>
      </c>
      <c r="P84" s="550">
        <v>0.2</v>
      </c>
      <c r="Q84" s="130"/>
      <c r="R84" s="130">
        <f t="shared" ref="R84:R90" si="100">+N84+O84+P84+Q84</f>
        <v>0.37</v>
      </c>
      <c r="S84" s="130">
        <f t="shared" ref="S84:S89" si="101">+R84+M84</f>
        <v>0.37</v>
      </c>
      <c r="T84" s="152"/>
      <c r="U84" s="152">
        <v>1</v>
      </c>
      <c r="V84" s="152"/>
      <c r="W84" s="152">
        <f t="shared" ref="W84:W90" si="102">+U84*E84</f>
        <v>0.1</v>
      </c>
      <c r="X84" s="152"/>
      <c r="Y84" s="197">
        <f t="shared" ref="Y84:Y89" si="103">+S84/F84</f>
        <v>0.37</v>
      </c>
      <c r="Z84" s="197">
        <v>0</v>
      </c>
      <c r="AA84" s="197">
        <f t="shared" ref="AA84:AA90" si="104">+Y84*E84</f>
        <v>3.6999999999999998E-2</v>
      </c>
    </row>
    <row r="85" spans="1:27" ht="55.95" customHeight="1" thickBot="1" x14ac:dyDescent="0.4">
      <c r="A85" s="110"/>
      <c r="B85" s="133" t="s">
        <v>868</v>
      </c>
      <c r="C85" s="190" t="s">
        <v>1321</v>
      </c>
      <c r="D85" s="213" t="s">
        <v>825</v>
      </c>
      <c r="E85" s="195">
        <v>0.3</v>
      </c>
      <c r="F85" s="193">
        <v>14000</v>
      </c>
      <c r="G85" s="130">
        <v>3500</v>
      </c>
      <c r="H85" s="130">
        <v>3500</v>
      </c>
      <c r="I85" s="136">
        <f t="shared" ref="I85:I90" si="105">+G85/F85</f>
        <v>0.25</v>
      </c>
      <c r="J85" s="136">
        <f t="shared" ref="J85:J96" si="106">+H85/F85</f>
        <v>0.25</v>
      </c>
      <c r="K85" s="136">
        <f t="shared" ref="K85:K90" si="107">+(G85/F85)*E85</f>
        <v>7.4999999999999997E-2</v>
      </c>
      <c r="L85" s="136">
        <f t="shared" si="99"/>
        <v>7.4999999999999997E-2</v>
      </c>
      <c r="M85" s="130">
        <v>1557.3</v>
      </c>
      <c r="N85" s="550">
        <v>941.85</v>
      </c>
      <c r="O85" s="550">
        <v>0</v>
      </c>
      <c r="P85" s="550">
        <v>0</v>
      </c>
      <c r="Q85" s="130"/>
      <c r="R85" s="130">
        <f t="shared" si="100"/>
        <v>941.85</v>
      </c>
      <c r="S85" s="130">
        <f t="shared" si="101"/>
        <v>2499.15</v>
      </c>
      <c r="T85" s="152">
        <f t="shared" ref="T85:T90" si="108">+(M85/G85)</f>
        <v>0.44494285714285714</v>
      </c>
      <c r="U85" s="152">
        <f t="shared" ref="U85:U90" si="109">+R85/H85</f>
        <v>0.26910000000000001</v>
      </c>
      <c r="V85" s="152">
        <f t="shared" ref="V85:V90" si="110">+T85*E85</f>
        <v>0.13348285714285713</v>
      </c>
      <c r="W85" s="152">
        <f t="shared" si="102"/>
        <v>8.0729999999999996E-2</v>
      </c>
      <c r="X85" s="152">
        <f t="shared" ref="X85:X90" si="111">+M85/F85</f>
        <v>0.11123571428571428</v>
      </c>
      <c r="Y85" s="197">
        <f t="shared" si="103"/>
        <v>0.1785107142857143</v>
      </c>
      <c r="Z85" s="197">
        <f t="shared" ref="Z85:Z90" si="112">+X85*E85</f>
        <v>3.3370714285714281E-2</v>
      </c>
      <c r="AA85" s="197">
        <f t="shared" si="104"/>
        <v>5.3553214285714287E-2</v>
      </c>
    </row>
    <row r="86" spans="1:27" ht="56.4" customHeight="1" thickBot="1" x14ac:dyDescent="0.4">
      <c r="A86" s="110"/>
      <c r="B86" s="133" t="s">
        <v>869</v>
      </c>
      <c r="C86" s="190" t="s">
        <v>1322</v>
      </c>
      <c r="D86" s="213" t="s">
        <v>818</v>
      </c>
      <c r="E86" s="195">
        <v>0.25</v>
      </c>
      <c r="F86" s="193">
        <v>15</v>
      </c>
      <c r="G86" s="130">
        <v>2</v>
      </c>
      <c r="H86" s="130">
        <v>5</v>
      </c>
      <c r="I86" s="136">
        <f t="shared" si="105"/>
        <v>0.13333333333333333</v>
      </c>
      <c r="J86" s="136">
        <f t="shared" si="106"/>
        <v>0.33333333333333331</v>
      </c>
      <c r="K86" s="136">
        <f t="shared" si="107"/>
        <v>3.3333333333333333E-2</v>
      </c>
      <c r="L86" s="136">
        <f t="shared" si="99"/>
        <v>8.3333333333333329E-2</v>
      </c>
      <c r="M86" s="130">
        <v>0</v>
      </c>
      <c r="N86" s="550">
        <v>0.9</v>
      </c>
      <c r="O86" s="550">
        <v>0.9</v>
      </c>
      <c r="P86" s="550">
        <v>0</v>
      </c>
      <c r="Q86" s="130"/>
      <c r="R86" s="130">
        <f t="shared" si="100"/>
        <v>1.8</v>
      </c>
      <c r="S86" s="130">
        <f t="shared" si="101"/>
        <v>1.8</v>
      </c>
      <c r="T86" s="152">
        <f t="shared" si="108"/>
        <v>0</v>
      </c>
      <c r="U86" s="152">
        <f t="shared" si="109"/>
        <v>0.36</v>
      </c>
      <c r="V86" s="152">
        <f t="shared" si="110"/>
        <v>0</v>
      </c>
      <c r="W86" s="152">
        <f t="shared" si="102"/>
        <v>0.09</v>
      </c>
      <c r="X86" s="152">
        <f t="shared" si="111"/>
        <v>0</v>
      </c>
      <c r="Y86" s="197">
        <f t="shared" si="103"/>
        <v>0.12000000000000001</v>
      </c>
      <c r="Z86" s="197">
        <f t="shared" si="112"/>
        <v>0</v>
      </c>
      <c r="AA86" s="197">
        <f t="shared" si="104"/>
        <v>3.0000000000000002E-2</v>
      </c>
    </row>
    <row r="87" spans="1:27" ht="66.599999999999994" customHeight="1" thickBot="1" x14ac:dyDescent="0.4">
      <c r="A87" s="110"/>
      <c r="B87" s="133" t="s">
        <v>870</v>
      </c>
      <c r="C87" s="190" t="s">
        <v>1323</v>
      </c>
      <c r="D87" s="213" t="s">
        <v>871</v>
      </c>
      <c r="E87" s="195">
        <v>0.08</v>
      </c>
      <c r="F87" s="193">
        <v>1</v>
      </c>
      <c r="G87" s="130">
        <v>0</v>
      </c>
      <c r="H87" s="130">
        <v>0.5</v>
      </c>
      <c r="I87" s="136"/>
      <c r="J87" s="136">
        <f>+H87/F87</f>
        <v>0.5</v>
      </c>
      <c r="K87" s="136"/>
      <c r="L87" s="136">
        <f t="shared" si="99"/>
        <v>0.04</v>
      </c>
      <c r="M87" s="130"/>
      <c r="N87" s="550">
        <v>0.1</v>
      </c>
      <c r="O87" s="550">
        <v>0.15</v>
      </c>
      <c r="P87" s="550">
        <v>0</v>
      </c>
      <c r="Q87" s="130"/>
      <c r="R87" s="130">
        <f t="shared" si="100"/>
        <v>0.25</v>
      </c>
      <c r="S87" s="130">
        <f t="shared" si="101"/>
        <v>0.25</v>
      </c>
      <c r="T87" s="152"/>
      <c r="U87" s="152">
        <f t="shared" si="109"/>
        <v>0.5</v>
      </c>
      <c r="V87" s="152"/>
      <c r="W87" s="152">
        <f t="shared" si="102"/>
        <v>0.04</v>
      </c>
      <c r="X87" s="152"/>
      <c r="Y87" s="197">
        <f t="shared" si="103"/>
        <v>0.25</v>
      </c>
      <c r="Z87" s="197">
        <v>0</v>
      </c>
      <c r="AA87" s="197">
        <f t="shared" si="104"/>
        <v>0.02</v>
      </c>
    </row>
    <row r="88" spans="1:27" ht="78.599999999999994" customHeight="1" thickBot="1" x14ac:dyDescent="0.4">
      <c r="A88" s="110"/>
      <c r="B88" s="133" t="s">
        <v>872</v>
      </c>
      <c r="C88" s="190" t="s">
        <v>1324</v>
      </c>
      <c r="D88" s="213" t="s">
        <v>873</v>
      </c>
      <c r="E88" s="195">
        <v>0.05</v>
      </c>
      <c r="F88" s="193">
        <v>1</v>
      </c>
      <c r="G88" s="130">
        <v>0</v>
      </c>
      <c r="H88" s="130">
        <v>0.8</v>
      </c>
      <c r="I88" s="136"/>
      <c r="J88" s="136">
        <f t="shared" si="106"/>
        <v>0.8</v>
      </c>
      <c r="K88" s="136"/>
      <c r="L88" s="136">
        <f t="shared" si="99"/>
        <v>4.0000000000000008E-2</v>
      </c>
      <c r="M88" s="130"/>
      <c r="N88" s="550"/>
      <c r="O88" s="550"/>
      <c r="P88" s="550"/>
      <c r="Q88" s="130"/>
      <c r="R88" s="130">
        <f t="shared" si="100"/>
        <v>0</v>
      </c>
      <c r="S88" s="130">
        <f t="shared" si="101"/>
        <v>0</v>
      </c>
      <c r="T88" s="152"/>
      <c r="U88" s="152">
        <f t="shared" si="109"/>
        <v>0</v>
      </c>
      <c r="V88" s="152"/>
      <c r="W88" s="152">
        <f t="shared" si="102"/>
        <v>0</v>
      </c>
      <c r="X88" s="152"/>
      <c r="Y88" s="197">
        <f t="shared" si="103"/>
        <v>0</v>
      </c>
      <c r="Z88" s="197">
        <v>0</v>
      </c>
      <c r="AA88" s="197">
        <f t="shared" si="104"/>
        <v>0</v>
      </c>
    </row>
    <row r="89" spans="1:27" ht="124.95" customHeight="1" thickBot="1" x14ac:dyDescent="0.4">
      <c r="A89" s="110"/>
      <c r="B89" s="133" t="s">
        <v>874</v>
      </c>
      <c r="C89" s="190" t="s">
        <v>1325</v>
      </c>
      <c r="D89" s="213" t="s">
        <v>875</v>
      </c>
      <c r="E89" s="195">
        <v>0.02</v>
      </c>
      <c r="F89" s="193">
        <v>1</v>
      </c>
      <c r="G89" s="130">
        <v>0</v>
      </c>
      <c r="H89" s="130">
        <v>0.5</v>
      </c>
      <c r="I89" s="136"/>
      <c r="J89" s="136">
        <f t="shared" si="106"/>
        <v>0.5</v>
      </c>
      <c r="K89" s="136"/>
      <c r="L89" s="136">
        <f t="shared" si="99"/>
        <v>0.01</v>
      </c>
      <c r="M89" s="130"/>
      <c r="N89" s="550">
        <v>0.1</v>
      </c>
      <c r="O89" s="550">
        <v>0.15</v>
      </c>
      <c r="P89" s="550">
        <v>0</v>
      </c>
      <c r="Q89" s="130"/>
      <c r="R89" s="130">
        <f t="shared" si="100"/>
        <v>0.25</v>
      </c>
      <c r="S89" s="130">
        <f t="shared" si="101"/>
        <v>0.25</v>
      </c>
      <c r="T89" s="152"/>
      <c r="U89" s="152">
        <f t="shared" si="109"/>
        <v>0.5</v>
      </c>
      <c r="V89" s="152"/>
      <c r="W89" s="152">
        <f t="shared" si="102"/>
        <v>0.01</v>
      </c>
      <c r="X89" s="152"/>
      <c r="Y89" s="197">
        <f t="shared" si="103"/>
        <v>0.25</v>
      </c>
      <c r="Z89" s="197">
        <v>0</v>
      </c>
      <c r="AA89" s="197">
        <f t="shared" si="104"/>
        <v>5.0000000000000001E-3</v>
      </c>
    </row>
    <row r="90" spans="1:27" ht="105" customHeight="1" thickBot="1" x14ac:dyDescent="0.4">
      <c r="A90" s="110"/>
      <c r="B90" s="800" t="s">
        <v>876</v>
      </c>
      <c r="C90" s="801" t="s">
        <v>1326</v>
      </c>
      <c r="D90" s="217" t="s">
        <v>877</v>
      </c>
      <c r="E90" s="205">
        <v>0.2</v>
      </c>
      <c r="F90" s="193">
        <v>8</v>
      </c>
      <c r="G90" s="130">
        <v>2</v>
      </c>
      <c r="H90" s="130">
        <v>1</v>
      </c>
      <c r="I90" s="136">
        <f t="shared" si="105"/>
        <v>0.25</v>
      </c>
      <c r="J90" s="136">
        <f t="shared" si="106"/>
        <v>0.125</v>
      </c>
      <c r="K90" s="136">
        <f t="shared" si="107"/>
        <v>0.05</v>
      </c>
      <c r="L90" s="136">
        <f t="shared" si="99"/>
        <v>2.5000000000000001E-2</v>
      </c>
      <c r="M90" s="130">
        <v>1</v>
      </c>
      <c r="N90" s="550">
        <v>0.38</v>
      </c>
      <c r="O90" s="550">
        <v>0.4</v>
      </c>
      <c r="P90" s="550">
        <v>0</v>
      </c>
      <c r="Q90" s="130"/>
      <c r="R90" s="130">
        <f t="shared" si="100"/>
        <v>0.78</v>
      </c>
      <c r="S90" s="130">
        <f>+R90+M90</f>
        <v>1.78</v>
      </c>
      <c r="T90" s="152">
        <f t="shared" si="108"/>
        <v>0.5</v>
      </c>
      <c r="U90" s="152">
        <f t="shared" si="109"/>
        <v>0.78</v>
      </c>
      <c r="V90" s="152">
        <f t="shared" si="110"/>
        <v>0.1</v>
      </c>
      <c r="W90" s="152">
        <f t="shared" si="102"/>
        <v>0.15600000000000003</v>
      </c>
      <c r="X90" s="152">
        <f t="shared" si="111"/>
        <v>0.125</v>
      </c>
      <c r="Y90" s="197">
        <f>+S90/F90</f>
        <v>0.2225</v>
      </c>
      <c r="Z90" s="197">
        <f t="shared" si="112"/>
        <v>2.5000000000000001E-2</v>
      </c>
      <c r="AA90" s="197">
        <f t="shared" si="104"/>
        <v>4.4500000000000005E-2</v>
      </c>
    </row>
    <row r="91" spans="1:27" ht="114.75" customHeight="1" thickBot="1" x14ac:dyDescent="0.4">
      <c r="A91" s="110"/>
      <c r="B91" s="970" t="s">
        <v>1668</v>
      </c>
      <c r="C91" s="981"/>
      <c r="D91" s="198"/>
      <c r="E91" s="199">
        <v>0.45</v>
      </c>
      <c r="F91" s="193"/>
      <c r="G91" s="123"/>
      <c r="H91" s="123"/>
      <c r="I91" s="129">
        <f>+AVERAGE(I92:I94)</f>
        <v>0.25</v>
      </c>
      <c r="J91" s="129">
        <f>+AVERAGE(J92:J94)</f>
        <v>0.29166666666666669</v>
      </c>
      <c r="K91" s="129">
        <f>+K92+K93+K94</f>
        <v>0.125</v>
      </c>
      <c r="L91" s="129">
        <f>+L92+L93+L94</f>
        <v>0.21875</v>
      </c>
      <c r="M91" s="128"/>
      <c r="N91" s="128"/>
      <c r="O91" s="128"/>
      <c r="P91" s="128"/>
      <c r="Q91" s="128"/>
      <c r="R91" s="128"/>
      <c r="S91" s="128"/>
      <c r="T91" s="150">
        <f>+AVERAGE(T92:T94)</f>
        <v>0</v>
      </c>
      <c r="U91" s="150">
        <f>+AVERAGE(U92:U94)</f>
        <v>0.15333333333333332</v>
      </c>
      <c r="V91" s="150">
        <f>+(V92+V93+V94)*E91</f>
        <v>0</v>
      </c>
      <c r="W91" s="150">
        <f>+(W92+W93+W94)*E91</f>
        <v>3.4499999999999996E-2</v>
      </c>
      <c r="X91" s="129">
        <f>+AVERAGE(X92:X94)</f>
        <v>0</v>
      </c>
      <c r="Y91" s="129">
        <f>+(Y92*0.33)+(Y93*0.33)+(Y94*0.33)</f>
        <v>3.7949999999999998E-2</v>
      </c>
      <c r="Z91" s="189">
        <f>+(Z92+Z93+Z94)*E91</f>
        <v>0</v>
      </c>
      <c r="AA91" s="189">
        <f>+(AA92+AA93+AA94)</f>
        <v>2.8749999999999998E-2</v>
      </c>
    </row>
    <row r="92" spans="1:27" ht="144.6" customHeight="1" thickBot="1" x14ac:dyDescent="0.4">
      <c r="A92" s="110"/>
      <c r="B92" s="800" t="s">
        <v>878</v>
      </c>
      <c r="C92" s="801" t="s">
        <v>1327</v>
      </c>
      <c r="D92" s="198" t="s">
        <v>879</v>
      </c>
      <c r="E92" s="195">
        <v>0.25</v>
      </c>
      <c r="F92" s="193">
        <v>4</v>
      </c>
      <c r="G92" s="130">
        <v>1</v>
      </c>
      <c r="H92" s="130">
        <v>2</v>
      </c>
      <c r="I92" s="136">
        <f>+G92/F92</f>
        <v>0.25</v>
      </c>
      <c r="J92" s="136">
        <f t="shared" si="106"/>
        <v>0.5</v>
      </c>
      <c r="K92" s="136">
        <f>+(G92/F92)*E92</f>
        <v>6.25E-2</v>
      </c>
      <c r="L92" s="136">
        <f t="shared" ref="L92:L94" si="113">+(H92/F92)*E92</f>
        <v>0.125</v>
      </c>
      <c r="M92" s="130">
        <v>0</v>
      </c>
      <c r="N92" s="550">
        <v>0</v>
      </c>
      <c r="O92" s="550">
        <v>0</v>
      </c>
      <c r="P92" s="550">
        <v>0</v>
      </c>
      <c r="Q92" s="130"/>
      <c r="R92" s="130">
        <f t="shared" ref="R92:R94" si="114">+N92+O92+P92+Q92</f>
        <v>0</v>
      </c>
      <c r="S92" s="130">
        <f t="shared" ref="S92:S94" si="115">+R92+M92</f>
        <v>0</v>
      </c>
      <c r="T92" s="152">
        <f>+(M92/G92)</f>
        <v>0</v>
      </c>
      <c r="U92" s="152">
        <f t="shared" ref="U92:U94" si="116">+R92/H92</f>
        <v>0</v>
      </c>
      <c r="V92" s="152">
        <f>+T92*E92</f>
        <v>0</v>
      </c>
      <c r="W92" s="152">
        <f t="shared" ref="W92:W94" si="117">+U92*E92</f>
        <v>0</v>
      </c>
      <c r="X92" s="152">
        <f>+M92/F92</f>
        <v>0</v>
      </c>
      <c r="Y92" s="197">
        <f t="shared" ref="Y92:Y94" si="118">+S92/F92</f>
        <v>0</v>
      </c>
      <c r="Z92" s="197">
        <f>+X92*E92</f>
        <v>0</v>
      </c>
      <c r="AA92" s="197">
        <f>+Y92*E92</f>
        <v>0</v>
      </c>
    </row>
    <row r="93" spans="1:27" ht="100.2" customHeight="1" thickBot="1" x14ac:dyDescent="0.4">
      <c r="A93" s="110"/>
      <c r="B93" s="133" t="s">
        <v>880</v>
      </c>
      <c r="C93" s="190" t="s">
        <v>1328</v>
      </c>
      <c r="D93" s="198" t="s">
        <v>1777</v>
      </c>
      <c r="E93" s="195">
        <v>0.5</v>
      </c>
      <c r="F93" s="193">
        <v>3</v>
      </c>
      <c r="G93" s="130">
        <v>0</v>
      </c>
      <c r="H93" s="130">
        <v>0</v>
      </c>
      <c r="I93" s="136"/>
      <c r="J93" s="136">
        <f t="shared" si="106"/>
        <v>0</v>
      </c>
      <c r="K93" s="136"/>
      <c r="L93" s="136">
        <f t="shared" si="113"/>
        <v>0</v>
      </c>
      <c r="M93" s="130"/>
      <c r="N93" s="550"/>
      <c r="O93" s="130"/>
      <c r="P93" s="130"/>
      <c r="Q93" s="130"/>
      <c r="R93" s="130">
        <f t="shared" si="114"/>
        <v>0</v>
      </c>
      <c r="S93" s="130">
        <f t="shared" si="115"/>
        <v>0</v>
      </c>
      <c r="T93" s="152"/>
      <c r="U93" s="152"/>
      <c r="V93" s="152"/>
      <c r="W93" s="152">
        <f t="shared" si="117"/>
        <v>0</v>
      </c>
      <c r="X93" s="152"/>
      <c r="Y93" s="197">
        <v>0</v>
      </c>
      <c r="Z93" s="197"/>
      <c r="AA93" s="197">
        <f>+Y93*E93</f>
        <v>0</v>
      </c>
    </row>
    <row r="94" spans="1:27" ht="147.6" customHeight="1" thickBot="1" x14ac:dyDescent="0.4">
      <c r="A94" s="110"/>
      <c r="B94" s="800" t="s">
        <v>881</v>
      </c>
      <c r="C94" s="801" t="s">
        <v>1329</v>
      </c>
      <c r="D94" s="214" t="s">
        <v>882</v>
      </c>
      <c r="E94" s="206">
        <v>0.25</v>
      </c>
      <c r="F94" s="193">
        <v>2</v>
      </c>
      <c r="G94" s="130">
        <v>0.5</v>
      </c>
      <c r="H94" s="130">
        <v>0.75</v>
      </c>
      <c r="I94" s="136">
        <f>+G94/F94</f>
        <v>0.25</v>
      </c>
      <c r="J94" s="136">
        <f t="shared" si="106"/>
        <v>0.375</v>
      </c>
      <c r="K94" s="136">
        <f>+(G94/F94)*E94</f>
        <v>6.25E-2</v>
      </c>
      <c r="L94" s="136">
        <f t="shared" si="113"/>
        <v>9.375E-2</v>
      </c>
      <c r="M94" s="130">
        <v>0</v>
      </c>
      <c r="N94" s="550">
        <v>0.08</v>
      </c>
      <c r="O94" s="130">
        <v>0.15</v>
      </c>
      <c r="P94" s="550">
        <v>0</v>
      </c>
      <c r="Q94" s="130"/>
      <c r="R94" s="130">
        <f t="shared" si="114"/>
        <v>0.22999999999999998</v>
      </c>
      <c r="S94" s="130">
        <f t="shared" si="115"/>
        <v>0.22999999999999998</v>
      </c>
      <c r="T94" s="152">
        <f>+(M94/G94)</f>
        <v>0</v>
      </c>
      <c r="U94" s="152">
        <f t="shared" si="116"/>
        <v>0.30666666666666664</v>
      </c>
      <c r="V94" s="152">
        <f>+T94*E94</f>
        <v>0</v>
      </c>
      <c r="W94" s="152">
        <f t="shared" si="117"/>
        <v>7.6666666666666661E-2</v>
      </c>
      <c r="X94" s="152">
        <f>+M94/F94</f>
        <v>0</v>
      </c>
      <c r="Y94" s="197">
        <f t="shared" si="118"/>
        <v>0.11499999999999999</v>
      </c>
      <c r="Z94" s="197">
        <f>+X94*E94</f>
        <v>0</v>
      </c>
      <c r="AA94" s="197">
        <f>+Y94*E94</f>
        <v>2.8749999999999998E-2</v>
      </c>
    </row>
    <row r="95" spans="1:27" ht="28.2" customHeight="1" thickBot="1" x14ac:dyDescent="0.4">
      <c r="A95" s="110"/>
      <c r="B95" s="970" t="s">
        <v>1669</v>
      </c>
      <c r="C95" s="981"/>
      <c r="D95" s="198"/>
      <c r="E95" s="199">
        <v>0.1</v>
      </c>
      <c r="F95" s="193"/>
      <c r="G95" s="123"/>
      <c r="H95" s="123"/>
      <c r="I95" s="129">
        <f>+AVERAGE(I96)</f>
        <v>0.25</v>
      </c>
      <c r="J95" s="129">
        <f>+AVERAGE(J96)</f>
        <v>0.25</v>
      </c>
      <c r="K95" s="129">
        <f>+K96</f>
        <v>0.25</v>
      </c>
      <c r="L95" s="129">
        <f>+L96</f>
        <v>0.25</v>
      </c>
      <c r="M95" s="128"/>
      <c r="N95" s="128"/>
      <c r="O95" s="128"/>
      <c r="P95" s="128"/>
      <c r="Q95" s="128"/>
      <c r="R95" s="128"/>
      <c r="S95" s="128"/>
      <c r="T95" s="150">
        <f>+AVERAGE(T96)</f>
        <v>1</v>
      </c>
      <c r="U95" s="150">
        <f>+AVERAGE(U96)</f>
        <v>0.5</v>
      </c>
      <c r="V95" s="150">
        <f>+(V96)*E95</f>
        <v>0.1</v>
      </c>
      <c r="W95" s="150">
        <f>+(W96)*E95</f>
        <v>0.05</v>
      </c>
      <c r="X95" s="129">
        <f>+AVERAGE(X96)</f>
        <v>0.375</v>
      </c>
      <c r="Y95" s="129">
        <f>+AVERAGE(Y96)</f>
        <v>0.5</v>
      </c>
      <c r="Z95" s="189">
        <f>+(Z96)*E95</f>
        <v>3.7500000000000006E-2</v>
      </c>
      <c r="AA95" s="189">
        <f>+(AA96)</f>
        <v>0.5</v>
      </c>
    </row>
    <row r="96" spans="1:27" ht="108" customHeight="1" thickBot="1" x14ac:dyDescent="0.4">
      <c r="A96" s="110"/>
      <c r="B96" s="133" t="s">
        <v>883</v>
      </c>
      <c r="C96" s="190" t="s">
        <v>1330</v>
      </c>
      <c r="D96" s="198" t="s">
        <v>884</v>
      </c>
      <c r="E96" s="195">
        <v>1</v>
      </c>
      <c r="F96" s="193">
        <v>16</v>
      </c>
      <c r="G96" s="130">
        <v>4</v>
      </c>
      <c r="H96" s="130">
        <v>4</v>
      </c>
      <c r="I96" s="136">
        <f>+G96/F96</f>
        <v>0.25</v>
      </c>
      <c r="J96" s="136">
        <f t="shared" si="106"/>
        <v>0.25</v>
      </c>
      <c r="K96" s="136">
        <f>+(G96/F96)*E96</f>
        <v>0.25</v>
      </c>
      <c r="L96" s="136">
        <f t="shared" ref="L96" si="119">+(H96/F96)*E96</f>
        <v>0.25</v>
      </c>
      <c r="M96" s="130">
        <v>6</v>
      </c>
      <c r="N96" s="550">
        <v>0</v>
      </c>
      <c r="O96" s="550">
        <v>0</v>
      </c>
      <c r="P96" s="130">
        <v>2</v>
      </c>
      <c r="Q96" s="130"/>
      <c r="R96" s="130">
        <f t="shared" ref="R96" si="120">+N96+O96+P96+Q96</f>
        <v>2</v>
      </c>
      <c r="S96" s="130">
        <f t="shared" ref="S96" si="121">+R96+M96</f>
        <v>8</v>
      </c>
      <c r="T96" s="152">
        <v>1</v>
      </c>
      <c r="U96" s="152">
        <f t="shared" ref="U96" si="122">+R96/H96</f>
        <v>0.5</v>
      </c>
      <c r="V96" s="152">
        <f>+T96*E96</f>
        <v>1</v>
      </c>
      <c r="W96" s="152">
        <f t="shared" ref="W96" si="123">+U96*E96</f>
        <v>0.5</v>
      </c>
      <c r="X96" s="152">
        <f>+M96/F96</f>
        <v>0.375</v>
      </c>
      <c r="Y96" s="197">
        <f t="shared" ref="Y96" si="124">+S96/F96</f>
        <v>0.5</v>
      </c>
      <c r="Z96" s="197">
        <f>+X96*E96</f>
        <v>0.375</v>
      </c>
      <c r="AA96" s="197">
        <f>+Y96*E96</f>
        <v>0.5</v>
      </c>
    </row>
    <row r="97" spans="1:27" ht="103.2" customHeight="1" thickBot="1" x14ac:dyDescent="0.4">
      <c r="A97" s="110"/>
      <c r="B97" s="976" t="s">
        <v>1742</v>
      </c>
      <c r="C97" s="981"/>
      <c r="D97" s="198"/>
      <c r="E97" s="201">
        <v>0.2</v>
      </c>
      <c r="F97" s="118">
        <f>+E97*V97</f>
        <v>7.2980616242112467E-2</v>
      </c>
      <c r="G97" s="123"/>
      <c r="H97" s="119">
        <f>+E97*W97</f>
        <v>9.6535877667984729E-2</v>
      </c>
      <c r="I97" s="121">
        <f>+(I98+I100+I105+I109+I121)/4</f>
        <v>0.32233213614481815</v>
      </c>
      <c r="J97" s="121">
        <f>+(J98+J100+J105+J109+J121)/4</f>
        <v>0.34240337637312757</v>
      </c>
      <c r="K97" s="122">
        <f>+(K98+K100+K105+K109+K121)/4</f>
        <v>0.24677777425020778</v>
      </c>
      <c r="L97" s="122">
        <f>+(L98+L100+L105+L109+L121)/4</f>
        <v>0.32323824614094049</v>
      </c>
      <c r="M97" s="123"/>
      <c r="N97" s="123"/>
      <c r="O97" s="123"/>
      <c r="P97" s="123"/>
      <c r="Q97" s="123"/>
      <c r="R97" s="123"/>
      <c r="S97" s="123"/>
      <c r="T97" s="121">
        <f>+(T98+T100+T105+T109+T121)/4</f>
        <v>0.71155118289486519</v>
      </c>
      <c r="U97" s="121">
        <f>+(U98+U100+U105+U109+U121)/5</f>
        <v>0.59675372308320473</v>
      </c>
      <c r="V97" s="122">
        <f>+V98+V100+V105+V109+V121</f>
        <v>0.36490308121056231</v>
      </c>
      <c r="W97" s="122">
        <f>+W98+W100+W105+W109+W121</f>
        <v>0.48267938833992363</v>
      </c>
      <c r="X97" s="121">
        <f>(X98+X100+X105+X109+X121)/4</f>
        <v>0.28704669626851897</v>
      </c>
      <c r="Y97" s="121">
        <f>(Y98+Y100+Y105+Y109+Y121)/5</f>
        <v>0.45089022120256167</v>
      </c>
      <c r="Z97" s="212">
        <f>+(Z98+Z100+Z105+Z109+Z121)</f>
        <v>0.14970787104537839</v>
      </c>
      <c r="AA97" s="212">
        <f>+(AA98*E98+AA100*E100*+AA105*E105+AA109*E109+AA121*E121)</f>
        <v>0.20604593930935705</v>
      </c>
    </row>
    <row r="98" spans="1:27" ht="42.75" customHeight="1" thickBot="1" x14ac:dyDescent="0.4">
      <c r="A98" s="110"/>
      <c r="B98" s="970" t="s">
        <v>885</v>
      </c>
      <c r="C98" s="981"/>
      <c r="D98" s="198"/>
      <c r="E98" s="199">
        <v>0.3</v>
      </c>
      <c r="F98" s="193"/>
      <c r="G98" s="123"/>
      <c r="H98" s="123"/>
      <c r="I98" s="129">
        <f>+AVERAGE(I99)</f>
        <v>0</v>
      </c>
      <c r="J98" s="129">
        <f>+AVERAGE(J99)</f>
        <v>0.2</v>
      </c>
      <c r="K98" s="129">
        <f>+K99</f>
        <v>0</v>
      </c>
      <c r="L98" s="129">
        <f>+L99</f>
        <v>0.2</v>
      </c>
      <c r="M98" s="128"/>
      <c r="N98" s="128"/>
      <c r="O98" s="128"/>
      <c r="P98" s="128"/>
      <c r="Q98" s="128"/>
      <c r="R98" s="128"/>
      <c r="S98" s="128"/>
      <c r="T98" s="131"/>
      <c r="U98" s="150">
        <f>+AVERAGE(U99)</f>
        <v>0.5</v>
      </c>
      <c r="V98" s="150"/>
      <c r="W98" s="150">
        <f>+(W99)*E98</f>
        <v>0.15</v>
      </c>
      <c r="X98" s="129"/>
      <c r="Y98" s="189">
        <f>+AVERAGE(Y99)</f>
        <v>0.1</v>
      </c>
      <c r="Z98" s="189">
        <f>+(Z99)*E98</f>
        <v>0</v>
      </c>
      <c r="AA98" s="189">
        <f>+(AA99)</f>
        <v>0.1</v>
      </c>
    </row>
    <row r="99" spans="1:27" ht="54.75" customHeight="1" thickBot="1" x14ac:dyDescent="0.4">
      <c r="A99" s="110"/>
      <c r="B99" s="140" t="s">
        <v>886</v>
      </c>
      <c r="C99" s="202" t="s">
        <v>1331</v>
      </c>
      <c r="D99" s="191" t="s">
        <v>825</v>
      </c>
      <c r="E99" s="195">
        <v>1</v>
      </c>
      <c r="F99" s="193">
        <v>10</v>
      </c>
      <c r="G99" s="130">
        <v>0</v>
      </c>
      <c r="H99" s="130">
        <v>2</v>
      </c>
      <c r="I99" s="136">
        <f>+G99/F99</f>
        <v>0</v>
      </c>
      <c r="J99" s="136">
        <f t="shared" ref="J99:J134" si="125">+H99/F99</f>
        <v>0.2</v>
      </c>
      <c r="K99" s="136">
        <f>+(G99/F99)*E99</f>
        <v>0</v>
      </c>
      <c r="L99" s="136">
        <f t="shared" ref="L99:L134" si="126">+(H99/F99)*E99</f>
        <v>0.2</v>
      </c>
      <c r="M99" s="130"/>
      <c r="N99" s="550">
        <v>0</v>
      </c>
      <c r="O99" s="130"/>
      <c r="P99" s="550">
        <v>1</v>
      </c>
      <c r="Q99" s="130"/>
      <c r="R99" s="130">
        <f t="shared" ref="R99" si="127">+N99+O99+P99+Q99</f>
        <v>1</v>
      </c>
      <c r="S99" s="130">
        <f t="shared" ref="S99" si="128">+R99+M99</f>
        <v>1</v>
      </c>
      <c r="T99" s="136"/>
      <c r="U99" s="136">
        <f t="shared" ref="U99" si="129">+R99/H99</f>
        <v>0.5</v>
      </c>
      <c r="V99" s="136"/>
      <c r="W99" s="136">
        <f t="shared" ref="W99" si="130">+U99*E99</f>
        <v>0.5</v>
      </c>
      <c r="X99" s="136"/>
      <c r="Y99" s="194">
        <f t="shared" ref="Y99" si="131">+S99/F99</f>
        <v>0.1</v>
      </c>
      <c r="Z99" s="194"/>
      <c r="AA99" s="194">
        <f>+Y99*E99</f>
        <v>0.1</v>
      </c>
    </row>
    <row r="100" spans="1:27" ht="100.5" customHeight="1" thickBot="1" x14ac:dyDescent="0.4">
      <c r="A100" s="110"/>
      <c r="B100" s="970" t="s">
        <v>887</v>
      </c>
      <c r="C100" s="981"/>
      <c r="D100" s="198"/>
      <c r="E100" s="199">
        <v>0.2</v>
      </c>
      <c r="F100" s="193"/>
      <c r="G100" s="123"/>
      <c r="H100" s="123"/>
      <c r="I100" s="129">
        <f>+AVERAGE(I101:I104)</f>
        <v>0.1875</v>
      </c>
      <c r="J100" s="129">
        <f>+AVERAGE(J101:J104)</f>
        <v>0.27083333333333331</v>
      </c>
      <c r="K100" s="129">
        <f>+K101+K102+K103+K104</f>
        <v>0.2</v>
      </c>
      <c r="L100" s="129">
        <f>+L101+L102+L103+L104</f>
        <v>0.26666666666666666</v>
      </c>
      <c r="M100" s="128"/>
      <c r="N100" s="128"/>
      <c r="O100" s="128"/>
      <c r="P100" s="128"/>
      <c r="Q100" s="128"/>
      <c r="R100" s="128"/>
      <c r="S100" s="128"/>
      <c r="T100" s="150">
        <f>+AVERAGE(T101:T104)</f>
        <v>1</v>
      </c>
      <c r="U100" s="150">
        <f>+AVERAGE(U101:U104)</f>
        <v>1</v>
      </c>
      <c r="V100" s="150">
        <f>+(V101+V102+V103+V104)*E100</f>
        <v>0.16000000000000003</v>
      </c>
      <c r="W100" s="150">
        <f>+(W101+W102+W103+W104)*E100</f>
        <v>0.2</v>
      </c>
      <c r="X100" s="129">
        <f>+AVERAGE(X101:X104)</f>
        <v>0.25510535714285715</v>
      </c>
      <c r="Y100" s="129">
        <f>+AVERAGE(Y101:Y104)</f>
        <v>1</v>
      </c>
      <c r="Z100" s="189">
        <f>+(Z101+Z102+Z103+Z104)*E100</f>
        <v>5.427928571428571E-2</v>
      </c>
      <c r="AA100" s="189">
        <f>+(AA101+AA102+AA103+AA104)</f>
        <v>1</v>
      </c>
    </row>
    <row r="101" spans="1:27" ht="69.599999999999994" customHeight="1" thickBot="1" x14ac:dyDescent="0.4">
      <c r="A101" s="110"/>
      <c r="B101" s="133" t="s">
        <v>888</v>
      </c>
      <c r="C101" s="190" t="s">
        <v>1332</v>
      </c>
      <c r="D101" s="191" t="s">
        <v>825</v>
      </c>
      <c r="E101" s="195">
        <v>0.3</v>
      </c>
      <c r="F101" s="193">
        <v>60</v>
      </c>
      <c r="G101" s="130">
        <v>15</v>
      </c>
      <c r="H101" s="130">
        <v>15</v>
      </c>
      <c r="I101" s="136">
        <f>+G101/F101</f>
        <v>0.25</v>
      </c>
      <c r="J101" s="136">
        <f t="shared" si="125"/>
        <v>0.25</v>
      </c>
      <c r="K101" s="136">
        <f>+(G101/F101)*E101</f>
        <v>7.4999999999999997E-2</v>
      </c>
      <c r="L101" s="136">
        <f t="shared" si="126"/>
        <v>7.4999999999999997E-2</v>
      </c>
      <c r="M101" s="130">
        <v>17.672999999999998</v>
      </c>
      <c r="N101" s="550">
        <v>10.196</v>
      </c>
      <c r="O101" s="550">
        <v>22.79</v>
      </c>
      <c r="P101" s="550">
        <v>21.318000000000001</v>
      </c>
      <c r="Q101" s="130"/>
      <c r="R101" s="130">
        <f>+N101+O101+P101+Q101</f>
        <v>54.304000000000002</v>
      </c>
      <c r="S101" s="130">
        <f>+R101+M101</f>
        <v>71.977000000000004</v>
      </c>
      <c r="T101" s="152">
        <v>1</v>
      </c>
      <c r="U101" s="152">
        <v>1</v>
      </c>
      <c r="V101" s="152">
        <f>+T101*E101</f>
        <v>0.3</v>
      </c>
      <c r="W101" s="152">
        <f t="shared" ref="W101:W134" si="132">+U101*E101</f>
        <v>0.3</v>
      </c>
      <c r="X101" s="152">
        <f>+M101/F101</f>
        <v>0.29454999999999998</v>
      </c>
      <c r="Y101" s="197">
        <v>1</v>
      </c>
      <c r="Z101" s="197">
        <f>+X101*E101</f>
        <v>8.8364999999999985E-2</v>
      </c>
      <c r="AA101" s="197">
        <f>+Y101*E101</f>
        <v>0.3</v>
      </c>
    </row>
    <row r="102" spans="1:27" ht="68.400000000000006" customHeight="1" thickBot="1" x14ac:dyDescent="0.4">
      <c r="A102" s="110"/>
      <c r="B102" s="133" t="s">
        <v>889</v>
      </c>
      <c r="C102" s="190" t="s">
        <v>1333</v>
      </c>
      <c r="D102" s="191" t="s">
        <v>825</v>
      </c>
      <c r="E102" s="195">
        <v>0.2</v>
      </c>
      <c r="F102" s="193">
        <v>4</v>
      </c>
      <c r="G102" s="130">
        <v>1</v>
      </c>
      <c r="H102" s="130">
        <v>1</v>
      </c>
      <c r="I102" s="136">
        <f>+G102/F102</f>
        <v>0.25</v>
      </c>
      <c r="J102" s="136">
        <f t="shared" si="125"/>
        <v>0.25</v>
      </c>
      <c r="K102" s="136">
        <f>+(G102/F102)*E102</f>
        <v>0.05</v>
      </c>
      <c r="L102" s="136">
        <f t="shared" si="126"/>
        <v>0.05</v>
      </c>
      <c r="M102" s="130">
        <v>1.3892</v>
      </c>
      <c r="N102" s="550">
        <v>2.1442000000000001</v>
      </c>
      <c r="O102" s="550">
        <v>33.701999999999998</v>
      </c>
      <c r="P102" s="550">
        <v>39.475999999999999</v>
      </c>
      <c r="Q102" s="130"/>
      <c r="R102" s="130">
        <f t="shared" ref="R102:R103" si="133">+N102+O102+P102+Q102</f>
        <v>75.322199999999995</v>
      </c>
      <c r="S102" s="130">
        <f t="shared" ref="S102:S103" si="134">+R102+M102</f>
        <v>76.711399999999998</v>
      </c>
      <c r="T102" s="152">
        <v>1</v>
      </c>
      <c r="U102" s="152">
        <v>1</v>
      </c>
      <c r="V102" s="152">
        <f>+T102*E102</f>
        <v>0.2</v>
      </c>
      <c r="W102" s="152">
        <f t="shared" si="132"/>
        <v>0.2</v>
      </c>
      <c r="X102" s="152">
        <f>+M102/F102</f>
        <v>0.3473</v>
      </c>
      <c r="Y102" s="197">
        <v>1</v>
      </c>
      <c r="Z102" s="197">
        <f>+X102*E102</f>
        <v>6.9460000000000008E-2</v>
      </c>
      <c r="AA102" s="197">
        <f>+Y102*E102</f>
        <v>0.2</v>
      </c>
    </row>
    <row r="103" spans="1:27" ht="118.95" customHeight="1" thickBot="1" x14ac:dyDescent="0.4">
      <c r="A103" s="110"/>
      <c r="B103" s="140" t="s">
        <v>890</v>
      </c>
      <c r="C103" s="202" t="s">
        <v>1334</v>
      </c>
      <c r="D103" s="191" t="s">
        <v>825</v>
      </c>
      <c r="E103" s="195">
        <v>0.2</v>
      </c>
      <c r="F103" s="193">
        <v>3</v>
      </c>
      <c r="G103" s="130">
        <v>0</v>
      </c>
      <c r="H103" s="130">
        <v>1</v>
      </c>
      <c r="I103" s="136">
        <v>0</v>
      </c>
      <c r="J103" s="136">
        <f t="shared" si="125"/>
        <v>0.33333333333333331</v>
      </c>
      <c r="K103" s="136"/>
      <c r="L103" s="136">
        <f t="shared" si="126"/>
        <v>6.6666666666666666E-2</v>
      </c>
      <c r="M103" s="130"/>
      <c r="N103" s="550">
        <v>0</v>
      </c>
      <c r="O103" s="550">
        <v>3</v>
      </c>
      <c r="P103" s="550">
        <v>0</v>
      </c>
      <c r="Q103" s="130"/>
      <c r="R103" s="130">
        <f t="shared" si="133"/>
        <v>3</v>
      </c>
      <c r="S103" s="130">
        <f t="shared" si="134"/>
        <v>3</v>
      </c>
      <c r="T103" s="152"/>
      <c r="U103" s="152">
        <v>1</v>
      </c>
      <c r="V103" s="152">
        <v>0</v>
      </c>
      <c r="W103" s="152">
        <f t="shared" si="132"/>
        <v>0.2</v>
      </c>
      <c r="X103" s="152">
        <v>0</v>
      </c>
      <c r="Y103" s="197">
        <f t="shared" ref="Y103:Y133" si="135">+S103/F103</f>
        <v>1</v>
      </c>
      <c r="Z103" s="197">
        <v>0</v>
      </c>
      <c r="AA103" s="197">
        <f>+Y103*E103</f>
        <v>0.2</v>
      </c>
    </row>
    <row r="104" spans="1:27" ht="82.95" customHeight="1" thickBot="1" x14ac:dyDescent="0.4">
      <c r="A104" s="110"/>
      <c r="B104" s="133" t="s">
        <v>891</v>
      </c>
      <c r="C104" s="190" t="s">
        <v>1335</v>
      </c>
      <c r="D104" s="191" t="s">
        <v>825</v>
      </c>
      <c r="E104" s="195">
        <v>0.3</v>
      </c>
      <c r="F104" s="193">
        <v>7</v>
      </c>
      <c r="G104" s="130">
        <v>1.75</v>
      </c>
      <c r="H104" s="130">
        <v>1.75</v>
      </c>
      <c r="I104" s="136">
        <f>+G104/F104</f>
        <v>0.25</v>
      </c>
      <c r="J104" s="136">
        <f t="shared" si="125"/>
        <v>0.25</v>
      </c>
      <c r="K104" s="136">
        <f>+(G104/F104)*E104</f>
        <v>7.4999999999999997E-2</v>
      </c>
      <c r="L104" s="136">
        <f t="shared" si="126"/>
        <v>7.4999999999999997E-2</v>
      </c>
      <c r="M104" s="130">
        <v>2.65</v>
      </c>
      <c r="N104" s="550">
        <v>3.198</v>
      </c>
      <c r="O104" s="550">
        <v>7.8051000000000004</v>
      </c>
      <c r="P104" s="550">
        <v>0</v>
      </c>
      <c r="Q104" s="130"/>
      <c r="R104" s="130">
        <f>+N104+O104</f>
        <v>11.0031</v>
      </c>
      <c r="S104" s="130">
        <f>+R104+M104</f>
        <v>13.6531</v>
      </c>
      <c r="T104" s="152">
        <v>1</v>
      </c>
      <c r="U104" s="152">
        <v>1</v>
      </c>
      <c r="V104" s="152">
        <f>+T104*E104</f>
        <v>0.3</v>
      </c>
      <c r="W104" s="152">
        <f t="shared" si="132"/>
        <v>0.3</v>
      </c>
      <c r="X104" s="152">
        <f>+M104/F104</f>
        <v>0.37857142857142856</v>
      </c>
      <c r="Y104" s="197">
        <v>1</v>
      </c>
      <c r="Z104" s="197">
        <f>+X104*E104</f>
        <v>0.11357142857142856</v>
      </c>
      <c r="AA104" s="197">
        <f>+Y104*E104</f>
        <v>0.3</v>
      </c>
    </row>
    <row r="105" spans="1:27" ht="86.25" customHeight="1" thickBot="1" x14ac:dyDescent="0.4">
      <c r="A105" s="110"/>
      <c r="B105" s="970" t="s">
        <v>1743</v>
      </c>
      <c r="C105" s="981"/>
      <c r="D105" s="198"/>
      <c r="E105" s="199">
        <v>0.15</v>
      </c>
      <c r="F105" s="193"/>
      <c r="G105" s="123"/>
      <c r="H105" s="123"/>
      <c r="I105" s="129">
        <f>+AVERAGE(I106:I108)</f>
        <v>0.25</v>
      </c>
      <c r="J105" s="129"/>
      <c r="K105" s="129">
        <f>+K106+K107+K108</f>
        <v>0.25</v>
      </c>
      <c r="L105" s="129"/>
      <c r="M105" s="128"/>
      <c r="N105" s="128"/>
      <c r="O105" s="128"/>
      <c r="P105" s="128"/>
      <c r="Q105" s="128"/>
      <c r="R105" s="128"/>
      <c r="S105" s="128"/>
      <c r="T105" s="150">
        <f>+AVERAGE(T106:T108)</f>
        <v>0</v>
      </c>
      <c r="U105" s="150">
        <f>+AVERAGE(U106:U108)</f>
        <v>0.41666666666666669</v>
      </c>
      <c r="V105" s="150">
        <f>+(V106+V107+V108)*E105</f>
        <v>0</v>
      </c>
      <c r="W105" s="150"/>
      <c r="X105" s="129">
        <f>+AVERAGE(X106:X108)</f>
        <v>0</v>
      </c>
      <c r="Y105" s="129">
        <f>+AVERAGE(Y106:Y108)</f>
        <v>8.3333333333333329E-2</v>
      </c>
      <c r="Z105" s="189">
        <f>+(Z106+Z107+Z108)*E105</f>
        <v>0</v>
      </c>
      <c r="AA105" s="189">
        <f>+(AA106+AA107+AA108)</f>
        <v>0.1125</v>
      </c>
    </row>
    <row r="106" spans="1:27" ht="88.95" customHeight="1" thickBot="1" x14ac:dyDescent="0.4">
      <c r="A106" s="110"/>
      <c r="B106" s="133" t="s">
        <v>892</v>
      </c>
      <c r="C106" s="190" t="s">
        <v>1336</v>
      </c>
      <c r="D106" s="198" t="s">
        <v>863</v>
      </c>
      <c r="E106" s="195">
        <v>0.3</v>
      </c>
      <c r="F106" s="193">
        <v>2</v>
      </c>
      <c r="G106" s="620">
        <v>0.5</v>
      </c>
      <c r="H106" s="621">
        <v>0</v>
      </c>
      <c r="I106" s="136">
        <f>+G106/F106</f>
        <v>0.25</v>
      </c>
      <c r="J106" s="136"/>
      <c r="K106" s="136">
        <f>+(G106/F106)*E106</f>
        <v>7.4999999999999997E-2</v>
      </c>
      <c r="L106" s="136"/>
      <c r="M106" s="130">
        <v>0</v>
      </c>
      <c r="N106" s="550">
        <v>0</v>
      </c>
      <c r="O106" s="550">
        <v>0</v>
      </c>
      <c r="P106" s="550">
        <v>0</v>
      </c>
      <c r="Q106" s="130"/>
      <c r="R106" s="130">
        <f t="shared" ref="R106:R108" si="136">+N106+O106+P106+Q106</f>
        <v>0</v>
      </c>
      <c r="S106" s="130">
        <f t="shared" ref="S106:S108" si="137">+R106+M106</f>
        <v>0</v>
      </c>
      <c r="T106" s="152">
        <f>+(M106/G106)</f>
        <v>0</v>
      </c>
      <c r="U106" s="152"/>
      <c r="V106" s="152">
        <f>+T106*E106</f>
        <v>0</v>
      </c>
      <c r="W106" s="152"/>
      <c r="X106" s="152">
        <f>+M106/F106</f>
        <v>0</v>
      </c>
      <c r="Y106" s="197">
        <f>+S106/F106</f>
        <v>0</v>
      </c>
      <c r="Z106" s="197">
        <f>+X106*E106</f>
        <v>0</v>
      </c>
      <c r="AA106" s="197">
        <f>+Y106*E106</f>
        <v>0</v>
      </c>
    </row>
    <row r="107" spans="1:27" ht="54" customHeight="1" thickBot="1" x14ac:dyDescent="0.4">
      <c r="A107" s="110"/>
      <c r="B107" s="133" t="s">
        <v>893</v>
      </c>
      <c r="C107" s="190" t="s">
        <v>1337</v>
      </c>
      <c r="D107" s="198" t="s">
        <v>863</v>
      </c>
      <c r="E107" s="195">
        <v>0.45</v>
      </c>
      <c r="F107" s="193">
        <v>10</v>
      </c>
      <c r="G107" s="215">
        <v>2.5</v>
      </c>
      <c r="H107" s="544">
        <v>6</v>
      </c>
      <c r="I107" s="136">
        <f>+G107/F107</f>
        <v>0.25</v>
      </c>
      <c r="J107" s="136"/>
      <c r="K107" s="136">
        <f>+(G107/F107)*E107</f>
        <v>0.1125</v>
      </c>
      <c r="L107" s="136"/>
      <c r="M107" s="130">
        <v>0</v>
      </c>
      <c r="N107" s="550"/>
      <c r="O107" s="550">
        <v>0</v>
      </c>
      <c r="P107" s="550">
        <v>2.5</v>
      </c>
      <c r="Q107" s="130"/>
      <c r="R107" s="130">
        <f t="shared" si="136"/>
        <v>2.5</v>
      </c>
      <c r="S107" s="130">
        <f t="shared" si="137"/>
        <v>2.5</v>
      </c>
      <c r="T107" s="152">
        <f>+(M107/G107)</f>
        <v>0</v>
      </c>
      <c r="U107" s="152">
        <f t="shared" ref="U107" si="138">+R107/H107</f>
        <v>0.41666666666666669</v>
      </c>
      <c r="V107" s="152">
        <f>+T107*E107</f>
        <v>0</v>
      </c>
      <c r="W107" s="152"/>
      <c r="X107" s="152">
        <f>+M107/F107</f>
        <v>0</v>
      </c>
      <c r="Y107" s="197">
        <f t="shared" si="135"/>
        <v>0.25</v>
      </c>
      <c r="Z107" s="197">
        <f>+X107*E107</f>
        <v>0</v>
      </c>
      <c r="AA107" s="197">
        <f>+Y107*E107</f>
        <v>0.1125</v>
      </c>
    </row>
    <row r="108" spans="1:27" ht="79.2" customHeight="1" thickBot="1" x14ac:dyDescent="0.4">
      <c r="A108" s="110"/>
      <c r="B108" s="133" t="s">
        <v>894</v>
      </c>
      <c r="C108" s="190" t="s">
        <v>1338</v>
      </c>
      <c r="D108" s="198" t="s">
        <v>863</v>
      </c>
      <c r="E108" s="195">
        <v>0.25</v>
      </c>
      <c r="F108" s="193">
        <v>10000</v>
      </c>
      <c r="G108" s="620">
        <v>2500</v>
      </c>
      <c r="H108" s="621">
        <v>0</v>
      </c>
      <c r="I108" s="136">
        <f>+G108/F108</f>
        <v>0.25</v>
      </c>
      <c r="J108" s="136"/>
      <c r="K108" s="136">
        <f>+(G108/F108)*E108</f>
        <v>6.25E-2</v>
      </c>
      <c r="L108" s="136"/>
      <c r="M108" s="130">
        <v>0</v>
      </c>
      <c r="N108" s="550"/>
      <c r="O108" s="550">
        <v>0</v>
      </c>
      <c r="P108" s="550">
        <v>0</v>
      </c>
      <c r="Q108" s="130"/>
      <c r="R108" s="130">
        <f t="shared" si="136"/>
        <v>0</v>
      </c>
      <c r="S108" s="130">
        <f t="shared" si="137"/>
        <v>0</v>
      </c>
      <c r="T108" s="152">
        <f>+(M108/G108)</f>
        <v>0</v>
      </c>
      <c r="U108" s="152"/>
      <c r="V108" s="152">
        <f>+T108*E108</f>
        <v>0</v>
      </c>
      <c r="W108" s="152"/>
      <c r="X108" s="152">
        <f>+M108/F108</f>
        <v>0</v>
      </c>
      <c r="Y108" s="197">
        <f t="shared" si="135"/>
        <v>0</v>
      </c>
      <c r="Z108" s="197">
        <f>+X108*E108</f>
        <v>0</v>
      </c>
      <c r="AA108" s="197">
        <f>+Y108*E108</f>
        <v>0</v>
      </c>
    </row>
    <row r="109" spans="1:27" ht="57" customHeight="1" thickBot="1" x14ac:dyDescent="0.4">
      <c r="A109" s="110"/>
      <c r="B109" s="970" t="s">
        <v>1673</v>
      </c>
      <c r="C109" s="981"/>
      <c r="D109" s="198"/>
      <c r="E109" s="199">
        <v>0.15</v>
      </c>
      <c r="F109" s="193"/>
      <c r="G109" s="123"/>
      <c r="H109" s="123"/>
      <c r="I109" s="129">
        <f>+AVERAGE(I110:I120)</f>
        <v>0.30482468088463477</v>
      </c>
      <c r="J109" s="129">
        <f>+AVERAGE(J110:J120)</f>
        <v>0.46682705302917799</v>
      </c>
      <c r="K109" s="129">
        <f>+K110+K111+K112+K113+K114+K115+K116+K117+K118+K119+K120</f>
        <v>0.23385974470770779</v>
      </c>
      <c r="L109" s="129">
        <f>+L110+L111+L112+L113+L114+L115+L116+L117+L118+L119+L120</f>
        <v>0.42850975833209581</v>
      </c>
      <c r="M109" s="128"/>
      <c r="N109" s="128"/>
      <c r="O109" s="128"/>
      <c r="P109" s="128"/>
      <c r="Q109" s="128"/>
      <c r="R109" s="128"/>
      <c r="S109" s="128"/>
      <c r="T109" s="150">
        <f>+AVERAGE(T110:T120)</f>
        <v>0.87337500000000001</v>
      </c>
      <c r="U109" s="150">
        <f>+AVERAGE(U110:U120)</f>
        <v>0.44932332282323578</v>
      </c>
      <c r="V109" s="150">
        <f>+(V110+V111+V112+V113+V114+V115+V116+V117+V118+V119+V120)*E109</f>
        <v>0.104805</v>
      </c>
      <c r="W109" s="150">
        <f>+(W110+W111+W112+W113+W114+W115+W116+W117+W118+W119+W120)*E109</f>
        <v>7.1457098265833907E-2</v>
      </c>
      <c r="X109" s="129">
        <f>+AVERAGE(X110:X120)</f>
        <v>0.296857707518147</v>
      </c>
      <c r="Y109" s="129">
        <f>+AVERAGE(Y110:Y120)</f>
        <v>0.39500880572026953</v>
      </c>
      <c r="Z109" s="189">
        <f>+(Z110+Z111+Z112+Z113+Z114+Z115+Z116+Z117+Z118+Z119+Z120)*E109</f>
        <v>3.3372924902177636E-2</v>
      </c>
      <c r="AA109" s="189">
        <f>+(AA110+AA111+AA112+AA113+AA114+AA115+AA116+AA117+AA118+AA119+AA120)</f>
        <v>0.39425968629229646</v>
      </c>
    </row>
    <row r="110" spans="1:27" ht="65.400000000000006" customHeight="1" thickBot="1" x14ac:dyDescent="0.4">
      <c r="A110" s="110"/>
      <c r="B110" s="133" t="s">
        <v>895</v>
      </c>
      <c r="C110" s="190" t="s">
        <v>1339</v>
      </c>
      <c r="D110" s="198" t="s">
        <v>48</v>
      </c>
      <c r="E110" s="195">
        <v>0.1</v>
      </c>
      <c r="F110" s="193">
        <v>2289</v>
      </c>
      <c r="G110" s="130">
        <v>570</v>
      </c>
      <c r="H110" s="130">
        <v>493</v>
      </c>
      <c r="I110" s="136">
        <f t="shared" ref="I110:I120" si="139">+G110/F110</f>
        <v>0.24901703800786371</v>
      </c>
      <c r="J110" s="136">
        <f t="shared" si="125"/>
        <v>0.21537789427697684</v>
      </c>
      <c r="K110" s="136">
        <f t="shared" ref="K110:K120" si="140">+(G110/F110)*E110</f>
        <v>2.4901703800786372E-2</v>
      </c>
      <c r="L110" s="136">
        <f t="shared" si="126"/>
        <v>2.1537789427697684E-2</v>
      </c>
      <c r="M110" s="130">
        <v>647</v>
      </c>
      <c r="N110" s="550">
        <v>153</v>
      </c>
      <c r="O110" s="550">
        <v>238</v>
      </c>
      <c r="P110" s="550">
        <v>1</v>
      </c>
      <c r="Q110" s="130"/>
      <c r="R110" s="130">
        <f t="shared" ref="R110:R120" si="141">+N110+O110+P110+Q110</f>
        <v>392</v>
      </c>
      <c r="S110" s="130">
        <f t="shared" ref="S110:S120" si="142">+R110+M110</f>
        <v>1039</v>
      </c>
      <c r="T110" s="152">
        <v>1</v>
      </c>
      <c r="U110" s="152">
        <f t="shared" ref="U110:U120" si="143">+R110/H110</f>
        <v>0.79513184584178498</v>
      </c>
      <c r="V110" s="152">
        <f t="shared" ref="V110:V120" si="144">+T110*E110</f>
        <v>0.1</v>
      </c>
      <c r="W110" s="152">
        <f t="shared" si="132"/>
        <v>7.9513184584178498E-2</v>
      </c>
      <c r="X110" s="152">
        <f t="shared" ref="X110:X120" si="145">+M110/F110</f>
        <v>0.28265618173875057</v>
      </c>
      <c r="Y110" s="197">
        <f t="shared" si="135"/>
        <v>0.45391000436871998</v>
      </c>
      <c r="Z110" s="197">
        <f>+X110*E110</f>
        <v>2.8265618173875059E-2</v>
      </c>
      <c r="AA110" s="197">
        <f t="shared" ref="AA110:AA120" si="146">+Y110*E110</f>
        <v>4.5391000436871998E-2</v>
      </c>
    </row>
    <row r="111" spans="1:27" ht="69" customHeight="1" thickBot="1" x14ac:dyDescent="0.4">
      <c r="A111" s="110"/>
      <c r="B111" s="133" t="s">
        <v>896</v>
      </c>
      <c r="C111" s="190" t="s">
        <v>1490</v>
      </c>
      <c r="D111" s="198" t="s">
        <v>48</v>
      </c>
      <c r="E111" s="195">
        <v>0.1</v>
      </c>
      <c r="F111" s="193">
        <v>190.58</v>
      </c>
      <c r="G111" s="130">
        <v>30</v>
      </c>
      <c r="H111" s="130">
        <v>70.39</v>
      </c>
      <c r="I111" s="136">
        <f t="shared" si="139"/>
        <v>0.15741420925595551</v>
      </c>
      <c r="J111" s="136">
        <f t="shared" si="125"/>
        <v>0.36934620631755694</v>
      </c>
      <c r="K111" s="136">
        <f t="shared" si="140"/>
        <v>1.5741420925595551E-2</v>
      </c>
      <c r="L111" s="136">
        <f t="shared" si="126"/>
        <v>3.6934620631755698E-2</v>
      </c>
      <c r="M111" s="130">
        <v>19.61</v>
      </c>
      <c r="N111" s="550">
        <v>3</v>
      </c>
      <c r="O111" s="550">
        <v>16</v>
      </c>
      <c r="P111" s="550">
        <v>0</v>
      </c>
      <c r="Q111" s="130"/>
      <c r="R111" s="130">
        <f t="shared" si="141"/>
        <v>19</v>
      </c>
      <c r="S111" s="130">
        <f t="shared" si="142"/>
        <v>38.61</v>
      </c>
      <c r="T111" s="152">
        <f>+(M111/G111)</f>
        <v>0.65366666666666662</v>
      </c>
      <c r="U111" s="152">
        <f t="shared" si="143"/>
        <v>0.26992470521380879</v>
      </c>
      <c r="V111" s="152">
        <f t="shared" si="144"/>
        <v>6.536666666666667E-2</v>
      </c>
      <c r="W111" s="152">
        <f t="shared" si="132"/>
        <v>2.699247052138088E-2</v>
      </c>
      <c r="X111" s="152">
        <f t="shared" si="145"/>
        <v>0.10289642145030957</v>
      </c>
      <c r="Y111" s="197">
        <f t="shared" si="135"/>
        <v>0.20259208731241471</v>
      </c>
      <c r="Z111" s="197">
        <f t="shared" ref="Z111:Z120" si="147">+X111*E111</f>
        <v>1.0289642145030958E-2</v>
      </c>
      <c r="AA111" s="197">
        <f t="shared" si="146"/>
        <v>2.0259208731241471E-2</v>
      </c>
    </row>
    <row r="112" spans="1:27" ht="127.95" customHeight="1" thickBot="1" x14ac:dyDescent="0.4">
      <c r="A112" s="110"/>
      <c r="B112" s="140" t="s">
        <v>897</v>
      </c>
      <c r="C112" s="202" t="s">
        <v>1340</v>
      </c>
      <c r="D112" s="198" t="s">
        <v>1496</v>
      </c>
      <c r="E112" s="195">
        <v>0.05</v>
      </c>
      <c r="F112" s="193">
        <v>20</v>
      </c>
      <c r="G112" s="130">
        <v>0</v>
      </c>
      <c r="H112" s="130">
        <f>10+10</f>
        <v>20</v>
      </c>
      <c r="I112" s="136"/>
      <c r="J112" s="136">
        <f t="shared" si="125"/>
        <v>1</v>
      </c>
      <c r="K112" s="136"/>
      <c r="L112" s="136">
        <f t="shared" si="126"/>
        <v>0.05</v>
      </c>
      <c r="M112" s="130"/>
      <c r="N112" s="550">
        <v>0.1</v>
      </c>
      <c r="O112" s="550">
        <v>0.15</v>
      </c>
      <c r="P112" s="550">
        <v>0</v>
      </c>
      <c r="Q112" s="130"/>
      <c r="R112" s="130">
        <f t="shared" si="141"/>
        <v>0.25</v>
      </c>
      <c r="S112" s="130">
        <f t="shared" si="142"/>
        <v>0.25</v>
      </c>
      <c r="T112" s="152"/>
      <c r="U112" s="152">
        <f t="shared" si="143"/>
        <v>1.2500000000000001E-2</v>
      </c>
      <c r="V112" s="152"/>
      <c r="W112" s="152">
        <f t="shared" si="132"/>
        <v>6.2500000000000012E-4</v>
      </c>
      <c r="X112" s="152"/>
      <c r="Y112" s="197">
        <f t="shared" si="135"/>
        <v>1.2500000000000001E-2</v>
      </c>
      <c r="Z112" s="197">
        <v>0</v>
      </c>
      <c r="AA112" s="197">
        <f t="shared" si="146"/>
        <v>6.2500000000000012E-4</v>
      </c>
    </row>
    <row r="113" spans="1:27" ht="40.200000000000003" customHeight="1" thickBot="1" x14ac:dyDescent="0.4">
      <c r="A113" s="110"/>
      <c r="B113" s="133" t="s">
        <v>898</v>
      </c>
      <c r="C113" s="190" t="s">
        <v>1341</v>
      </c>
      <c r="D113" s="198" t="s">
        <v>48</v>
      </c>
      <c r="E113" s="195">
        <v>0.2</v>
      </c>
      <c r="F113" s="193">
        <v>1</v>
      </c>
      <c r="G113" s="130">
        <v>0.25</v>
      </c>
      <c r="H113" s="130">
        <v>0.25</v>
      </c>
      <c r="I113" s="136">
        <f t="shared" si="139"/>
        <v>0.25</v>
      </c>
      <c r="J113" s="136">
        <f t="shared" si="125"/>
        <v>0.25</v>
      </c>
      <c r="K113" s="136">
        <f t="shared" si="140"/>
        <v>0.05</v>
      </c>
      <c r="L113" s="136">
        <f t="shared" si="126"/>
        <v>0.05</v>
      </c>
      <c r="M113" s="130">
        <v>0.25</v>
      </c>
      <c r="N113" s="550">
        <v>0.15</v>
      </c>
      <c r="O113" s="550">
        <v>0.01</v>
      </c>
      <c r="P113" s="550">
        <v>0</v>
      </c>
      <c r="Q113" s="130"/>
      <c r="R113" s="130">
        <f t="shared" si="141"/>
        <v>0.16</v>
      </c>
      <c r="S113" s="130">
        <f t="shared" si="142"/>
        <v>0.41000000000000003</v>
      </c>
      <c r="T113" s="152">
        <f t="shared" ref="T113:T118" si="148">+(M113/G113)</f>
        <v>1</v>
      </c>
      <c r="U113" s="152">
        <f t="shared" si="143"/>
        <v>0.64</v>
      </c>
      <c r="V113" s="152">
        <f t="shared" si="144"/>
        <v>0.2</v>
      </c>
      <c r="W113" s="152">
        <f t="shared" si="132"/>
        <v>0.128</v>
      </c>
      <c r="X113" s="152">
        <f t="shared" si="145"/>
        <v>0.25</v>
      </c>
      <c r="Y113" s="197">
        <f t="shared" si="135"/>
        <v>0.41000000000000003</v>
      </c>
      <c r="Z113" s="197">
        <f t="shared" si="147"/>
        <v>0.05</v>
      </c>
      <c r="AA113" s="197">
        <f t="shared" si="146"/>
        <v>8.2000000000000017E-2</v>
      </c>
    </row>
    <row r="114" spans="1:27" ht="58.2" customHeight="1" thickBot="1" x14ac:dyDescent="0.4">
      <c r="A114" s="110"/>
      <c r="B114" s="133" t="s">
        <v>899</v>
      </c>
      <c r="C114" s="190" t="s">
        <v>1342</v>
      </c>
      <c r="D114" s="198" t="s">
        <v>48</v>
      </c>
      <c r="E114" s="195">
        <v>0.1</v>
      </c>
      <c r="F114" s="193">
        <v>14</v>
      </c>
      <c r="G114" s="130">
        <v>3</v>
      </c>
      <c r="H114" s="130">
        <v>5</v>
      </c>
      <c r="I114" s="136">
        <f t="shared" si="139"/>
        <v>0.21428571428571427</v>
      </c>
      <c r="J114" s="136">
        <f t="shared" si="125"/>
        <v>0.35714285714285715</v>
      </c>
      <c r="K114" s="136">
        <f t="shared" si="140"/>
        <v>2.1428571428571429E-2</v>
      </c>
      <c r="L114" s="136">
        <f t="shared" si="126"/>
        <v>3.5714285714285719E-2</v>
      </c>
      <c r="M114" s="130">
        <v>1</v>
      </c>
      <c r="N114" s="550">
        <v>0</v>
      </c>
      <c r="O114" s="550">
        <v>2</v>
      </c>
      <c r="P114" s="550">
        <v>1</v>
      </c>
      <c r="Q114" s="130"/>
      <c r="R114" s="130">
        <f t="shared" si="141"/>
        <v>3</v>
      </c>
      <c r="S114" s="130">
        <f t="shared" si="142"/>
        <v>4</v>
      </c>
      <c r="T114" s="152">
        <f t="shared" si="148"/>
        <v>0.33333333333333331</v>
      </c>
      <c r="U114" s="152">
        <f t="shared" si="143"/>
        <v>0.6</v>
      </c>
      <c r="V114" s="152">
        <f t="shared" si="144"/>
        <v>3.3333333333333333E-2</v>
      </c>
      <c r="W114" s="152">
        <f t="shared" si="132"/>
        <v>0.06</v>
      </c>
      <c r="X114" s="152">
        <f t="shared" si="145"/>
        <v>7.1428571428571425E-2</v>
      </c>
      <c r="Y114" s="197">
        <f t="shared" si="135"/>
        <v>0.2857142857142857</v>
      </c>
      <c r="Z114" s="197">
        <f t="shared" si="147"/>
        <v>7.1428571428571426E-3</v>
      </c>
      <c r="AA114" s="197">
        <f t="shared" si="146"/>
        <v>2.8571428571428571E-2</v>
      </c>
    </row>
    <row r="115" spans="1:27" ht="54" customHeight="1" thickBot="1" x14ac:dyDescent="0.4">
      <c r="A115" s="110"/>
      <c r="B115" s="133" t="s">
        <v>900</v>
      </c>
      <c r="C115" s="190" t="s">
        <v>1343</v>
      </c>
      <c r="D115" s="198" t="s">
        <v>48</v>
      </c>
      <c r="E115" s="195">
        <v>0.05</v>
      </c>
      <c r="F115" s="193">
        <v>10</v>
      </c>
      <c r="G115" s="130">
        <v>2</v>
      </c>
      <c r="H115" s="130">
        <v>2</v>
      </c>
      <c r="I115" s="136">
        <f t="shared" si="139"/>
        <v>0.2</v>
      </c>
      <c r="J115" s="136">
        <f t="shared" si="125"/>
        <v>0.2</v>
      </c>
      <c r="K115" s="136">
        <f t="shared" si="140"/>
        <v>1.0000000000000002E-2</v>
      </c>
      <c r="L115" s="136">
        <f t="shared" si="126"/>
        <v>1.0000000000000002E-2</v>
      </c>
      <c r="M115" s="130">
        <v>3</v>
      </c>
      <c r="N115" s="550">
        <v>0</v>
      </c>
      <c r="O115" s="550">
        <v>4</v>
      </c>
      <c r="P115" s="550">
        <v>1</v>
      </c>
      <c r="Q115" s="130"/>
      <c r="R115" s="130">
        <f t="shared" si="141"/>
        <v>5</v>
      </c>
      <c r="S115" s="130">
        <f t="shared" si="142"/>
        <v>8</v>
      </c>
      <c r="T115" s="152">
        <v>1</v>
      </c>
      <c r="U115" s="152">
        <v>1</v>
      </c>
      <c r="V115" s="152">
        <f t="shared" si="144"/>
        <v>0.05</v>
      </c>
      <c r="W115" s="152">
        <f t="shared" si="132"/>
        <v>0.05</v>
      </c>
      <c r="X115" s="152">
        <f t="shared" si="145"/>
        <v>0.3</v>
      </c>
      <c r="Y115" s="197">
        <f t="shared" si="135"/>
        <v>0.8</v>
      </c>
      <c r="Z115" s="197">
        <f>+X115*E115</f>
        <v>1.4999999999999999E-2</v>
      </c>
      <c r="AA115" s="197">
        <f t="shared" si="146"/>
        <v>4.0000000000000008E-2</v>
      </c>
    </row>
    <row r="116" spans="1:27" ht="64.95" customHeight="1" thickBot="1" x14ac:dyDescent="0.4">
      <c r="A116" s="110"/>
      <c r="B116" s="133" t="s">
        <v>901</v>
      </c>
      <c r="C116" s="190" t="s">
        <v>1344</v>
      </c>
      <c r="D116" s="198" t="s">
        <v>48</v>
      </c>
      <c r="E116" s="195">
        <v>0.1</v>
      </c>
      <c r="F116" s="193">
        <v>18</v>
      </c>
      <c r="G116" s="130">
        <v>7</v>
      </c>
      <c r="H116" s="130">
        <v>4</v>
      </c>
      <c r="I116" s="136">
        <f>+G116/F116</f>
        <v>0.3888888888888889</v>
      </c>
      <c r="J116" s="136">
        <f t="shared" si="125"/>
        <v>0.22222222222222221</v>
      </c>
      <c r="K116" s="136">
        <f t="shared" si="140"/>
        <v>3.888888888888889E-2</v>
      </c>
      <c r="L116" s="136">
        <f t="shared" si="126"/>
        <v>2.2222222222222223E-2</v>
      </c>
      <c r="M116" s="130">
        <v>7</v>
      </c>
      <c r="N116" s="550">
        <v>3</v>
      </c>
      <c r="O116" s="550">
        <v>1</v>
      </c>
      <c r="P116" s="550">
        <v>5</v>
      </c>
      <c r="Q116" s="130"/>
      <c r="R116" s="130">
        <f t="shared" si="141"/>
        <v>9</v>
      </c>
      <c r="S116" s="130">
        <f t="shared" si="142"/>
        <v>16</v>
      </c>
      <c r="T116" s="152">
        <f t="shared" si="148"/>
        <v>1</v>
      </c>
      <c r="U116" s="152">
        <v>1</v>
      </c>
      <c r="V116" s="152">
        <f t="shared" si="144"/>
        <v>0.1</v>
      </c>
      <c r="W116" s="152">
        <f t="shared" si="132"/>
        <v>0.1</v>
      </c>
      <c r="X116" s="152">
        <f t="shared" si="145"/>
        <v>0.3888888888888889</v>
      </c>
      <c r="Y116" s="197">
        <f t="shared" si="135"/>
        <v>0.88888888888888884</v>
      </c>
      <c r="Z116" s="197">
        <f t="shared" si="147"/>
        <v>3.888888888888889E-2</v>
      </c>
      <c r="AA116" s="197">
        <f t="shared" si="146"/>
        <v>8.8888888888888892E-2</v>
      </c>
    </row>
    <row r="117" spans="1:27" ht="156.6" customHeight="1" thickBot="1" x14ac:dyDescent="0.4">
      <c r="A117" s="110"/>
      <c r="B117" s="140" t="s">
        <v>902</v>
      </c>
      <c r="C117" s="202" t="s">
        <v>1345</v>
      </c>
      <c r="D117" s="198" t="s">
        <v>1496</v>
      </c>
      <c r="E117" s="195">
        <v>0.05</v>
      </c>
      <c r="F117" s="193">
        <v>20</v>
      </c>
      <c r="G117" s="130">
        <v>0</v>
      </c>
      <c r="H117" s="130">
        <f>5+5</f>
        <v>10</v>
      </c>
      <c r="I117" s="136"/>
      <c r="J117" s="136">
        <f t="shared" si="125"/>
        <v>0.5</v>
      </c>
      <c r="K117" s="136"/>
      <c r="L117" s="136">
        <f t="shared" si="126"/>
        <v>2.5000000000000001E-2</v>
      </c>
      <c r="M117" s="130"/>
      <c r="N117" s="550">
        <v>0.1</v>
      </c>
      <c r="O117" s="550">
        <v>0.15</v>
      </c>
      <c r="P117" s="550">
        <v>0</v>
      </c>
      <c r="Q117" s="130"/>
      <c r="R117" s="130">
        <f t="shared" si="141"/>
        <v>0.25</v>
      </c>
      <c r="S117" s="130">
        <f t="shared" si="142"/>
        <v>0.25</v>
      </c>
      <c r="T117" s="152"/>
      <c r="U117" s="152">
        <f t="shared" si="143"/>
        <v>2.5000000000000001E-2</v>
      </c>
      <c r="V117" s="152"/>
      <c r="W117" s="152">
        <f t="shared" si="132"/>
        <v>1.2500000000000002E-3</v>
      </c>
      <c r="X117" s="152"/>
      <c r="Y117" s="197">
        <f t="shared" si="135"/>
        <v>1.2500000000000001E-2</v>
      </c>
      <c r="Z117" s="197">
        <v>0</v>
      </c>
      <c r="AA117" s="197">
        <f t="shared" si="146"/>
        <v>6.2500000000000012E-4</v>
      </c>
    </row>
    <row r="118" spans="1:27" ht="67.2" customHeight="1" thickBot="1" x14ac:dyDescent="0.4">
      <c r="A118" s="110"/>
      <c r="B118" s="133" t="s">
        <v>903</v>
      </c>
      <c r="C118" s="190" t="s">
        <v>1346</v>
      </c>
      <c r="D118" s="198" t="s">
        <v>48</v>
      </c>
      <c r="E118" s="195">
        <v>0.1</v>
      </c>
      <c r="F118" s="193">
        <v>119</v>
      </c>
      <c r="G118" s="130">
        <v>57</v>
      </c>
      <c r="H118" s="130">
        <v>62</v>
      </c>
      <c r="I118" s="136">
        <f t="shared" si="139"/>
        <v>0.47899159663865548</v>
      </c>
      <c r="J118" s="136">
        <f t="shared" si="125"/>
        <v>0.52100840336134457</v>
      </c>
      <c r="K118" s="136">
        <f t="shared" si="140"/>
        <v>4.789915966386555E-2</v>
      </c>
      <c r="L118" s="136">
        <f t="shared" si="126"/>
        <v>5.2100840336134463E-2</v>
      </c>
      <c r="M118" s="130">
        <v>57</v>
      </c>
      <c r="N118" s="550">
        <v>0</v>
      </c>
      <c r="O118" s="550">
        <v>0</v>
      </c>
      <c r="P118" s="550">
        <v>0</v>
      </c>
      <c r="Q118" s="130"/>
      <c r="R118" s="130">
        <f t="shared" si="141"/>
        <v>0</v>
      </c>
      <c r="S118" s="130">
        <f t="shared" si="142"/>
        <v>57</v>
      </c>
      <c r="T118" s="152">
        <f t="shared" si="148"/>
        <v>1</v>
      </c>
      <c r="U118" s="152">
        <f t="shared" si="143"/>
        <v>0</v>
      </c>
      <c r="V118" s="152">
        <f t="shared" si="144"/>
        <v>0.1</v>
      </c>
      <c r="W118" s="152">
        <f t="shared" si="132"/>
        <v>0</v>
      </c>
      <c r="X118" s="152">
        <f t="shared" si="145"/>
        <v>0.47899159663865548</v>
      </c>
      <c r="Y118" s="197">
        <f t="shared" si="135"/>
        <v>0.47899159663865548</v>
      </c>
      <c r="Z118" s="197">
        <f t="shared" si="147"/>
        <v>4.789915966386555E-2</v>
      </c>
      <c r="AA118" s="197">
        <f t="shared" si="146"/>
        <v>4.789915966386555E-2</v>
      </c>
    </row>
    <row r="119" spans="1:27" ht="121.2" customHeight="1" thickBot="1" x14ac:dyDescent="0.4">
      <c r="A119" s="110"/>
      <c r="B119" s="133" t="s">
        <v>904</v>
      </c>
      <c r="C119" s="190" t="s">
        <v>1347</v>
      </c>
      <c r="D119" s="198" t="s">
        <v>48</v>
      </c>
      <c r="E119" s="195">
        <v>0.1</v>
      </c>
      <c r="F119" s="193">
        <v>60</v>
      </c>
      <c r="G119" s="130">
        <v>0</v>
      </c>
      <c r="H119" s="130">
        <v>60</v>
      </c>
      <c r="I119" s="136"/>
      <c r="J119" s="136">
        <f t="shared" si="125"/>
        <v>1</v>
      </c>
      <c r="K119" s="136"/>
      <c r="L119" s="136">
        <f t="shared" si="126"/>
        <v>0.1</v>
      </c>
      <c r="M119" s="130"/>
      <c r="N119" s="550">
        <v>0</v>
      </c>
      <c r="O119" s="550">
        <v>0</v>
      </c>
      <c r="P119" s="550">
        <v>0</v>
      </c>
      <c r="Q119" s="130"/>
      <c r="R119" s="130">
        <f t="shared" si="141"/>
        <v>0</v>
      </c>
      <c r="S119" s="130">
        <f t="shared" si="142"/>
        <v>0</v>
      </c>
      <c r="T119" s="152"/>
      <c r="U119" s="152">
        <f t="shared" si="143"/>
        <v>0</v>
      </c>
      <c r="V119" s="152"/>
      <c r="W119" s="152">
        <f t="shared" si="132"/>
        <v>0</v>
      </c>
      <c r="X119" s="152"/>
      <c r="Y119" s="197">
        <v>0</v>
      </c>
      <c r="Z119" s="197">
        <f t="shared" si="147"/>
        <v>0</v>
      </c>
      <c r="AA119" s="197">
        <f t="shared" si="146"/>
        <v>0</v>
      </c>
    </row>
    <row r="120" spans="1:27" ht="73.2" customHeight="1" thickBot="1" x14ac:dyDescent="0.4">
      <c r="A120" s="110"/>
      <c r="B120" s="133" t="s">
        <v>905</v>
      </c>
      <c r="C120" s="190" t="s">
        <v>1348</v>
      </c>
      <c r="D120" s="198" t="s">
        <v>48</v>
      </c>
      <c r="E120" s="195">
        <v>0.05</v>
      </c>
      <c r="F120" s="193">
        <v>1</v>
      </c>
      <c r="G120" s="130">
        <v>0.5</v>
      </c>
      <c r="H120" s="130">
        <v>0.5</v>
      </c>
      <c r="I120" s="136">
        <f t="shared" si="139"/>
        <v>0.5</v>
      </c>
      <c r="J120" s="136">
        <f t="shared" si="125"/>
        <v>0.5</v>
      </c>
      <c r="K120" s="136">
        <f t="shared" si="140"/>
        <v>2.5000000000000001E-2</v>
      </c>
      <c r="L120" s="136">
        <f t="shared" si="126"/>
        <v>2.5000000000000001E-2</v>
      </c>
      <c r="M120" s="130">
        <v>0.5</v>
      </c>
      <c r="N120" s="550">
        <v>0</v>
      </c>
      <c r="O120" s="550">
        <v>0.3</v>
      </c>
      <c r="P120" s="550">
        <v>0</v>
      </c>
      <c r="Q120" s="130"/>
      <c r="R120" s="130">
        <f t="shared" si="141"/>
        <v>0.3</v>
      </c>
      <c r="S120" s="130">
        <f t="shared" si="142"/>
        <v>0.8</v>
      </c>
      <c r="T120" s="152">
        <f>+(M120/G120)</f>
        <v>1</v>
      </c>
      <c r="U120" s="152">
        <f t="shared" si="143"/>
        <v>0.6</v>
      </c>
      <c r="V120" s="152">
        <f t="shared" si="144"/>
        <v>0.05</v>
      </c>
      <c r="W120" s="152">
        <f t="shared" si="132"/>
        <v>0.03</v>
      </c>
      <c r="X120" s="152">
        <f t="shared" si="145"/>
        <v>0.5</v>
      </c>
      <c r="Y120" s="197">
        <f t="shared" si="135"/>
        <v>0.8</v>
      </c>
      <c r="Z120" s="197">
        <f t="shared" si="147"/>
        <v>2.5000000000000001E-2</v>
      </c>
      <c r="AA120" s="197">
        <f t="shared" si="146"/>
        <v>4.0000000000000008E-2</v>
      </c>
    </row>
    <row r="121" spans="1:27" ht="57" customHeight="1" thickBot="1" x14ac:dyDescent="0.4">
      <c r="A121" s="110"/>
      <c r="B121" s="970" t="s">
        <v>1674</v>
      </c>
      <c r="C121" s="981"/>
      <c r="D121" s="198"/>
      <c r="E121" s="199">
        <v>0.2</v>
      </c>
      <c r="F121" s="193"/>
      <c r="G121" s="123"/>
      <c r="H121" s="123"/>
      <c r="I121" s="129">
        <f>+AVERAGE(I122:I134)</f>
        <v>0.54700386369463794</v>
      </c>
      <c r="J121" s="129">
        <f>+AVERAGE(J122:J134)</f>
        <v>0.43195311912999895</v>
      </c>
      <c r="K121" s="129">
        <f>+K122+K123+K124+K125+K126+K127+K128+K129+K130+K131+K132+K133+K134</f>
        <v>0.30325135229312328</v>
      </c>
      <c r="L121" s="129">
        <f>+L122+L123+L124+L125+L126+L127+L128+L129+L130+L131+L132+L133+L134</f>
        <v>0.39777655956499952</v>
      </c>
      <c r="M121" s="128"/>
      <c r="N121" s="128"/>
      <c r="O121" s="128"/>
      <c r="P121" s="128"/>
      <c r="Q121" s="128"/>
      <c r="R121" s="128"/>
      <c r="S121" s="807"/>
      <c r="T121" s="150">
        <f>+AVERAGE(T122:T134)</f>
        <v>0.97282973157946084</v>
      </c>
      <c r="U121" s="150">
        <f>+AVERAGE(U122:U134)</f>
        <v>0.61777862592612132</v>
      </c>
      <c r="V121" s="150">
        <f>+(V122+V123+V124+V125+V126+V127+V128+V129+V130+V131+V132+V133+V134)*E121</f>
        <v>0.10009808121056228</v>
      </c>
      <c r="W121" s="150">
        <f>+(W122+W123+W124+W125+W126+W127+W128+W129+W130+W131+W132+W133+W134)*E121</f>
        <v>6.1222290074089726E-2</v>
      </c>
      <c r="X121" s="129">
        <f>+AVERAGE(X122:X134)</f>
        <v>0.59622372041307181</v>
      </c>
      <c r="Y121" s="129">
        <f>+AVERAGE(Y122:Y134)</f>
        <v>0.67610896695920519</v>
      </c>
      <c r="Z121" s="189">
        <f>+(Z122+Z123+Z124+Z125+Z126+Z127+Z128+Z129+Z130+Z131+Z132+Z133+Z134)*E121</f>
        <v>6.2055660428915041E-2</v>
      </c>
      <c r="AA121" s="189">
        <f>+(AA122+AA123+AA124+AA125+AA126+AA127+AA128+AA129+AA130+AA131+AA132+AA133+AA134)</f>
        <v>0.56765993182756291</v>
      </c>
    </row>
    <row r="122" spans="1:27" ht="42.6" customHeight="1" thickBot="1" x14ac:dyDescent="0.4">
      <c r="A122" s="110"/>
      <c r="B122" s="133" t="s">
        <v>906</v>
      </c>
      <c r="C122" s="190" t="s">
        <v>1349</v>
      </c>
      <c r="D122" s="191" t="s">
        <v>907</v>
      </c>
      <c r="E122" s="195">
        <v>0.2</v>
      </c>
      <c r="F122" s="193">
        <v>18</v>
      </c>
      <c r="G122" s="130">
        <v>18</v>
      </c>
      <c r="H122" s="130">
        <v>0</v>
      </c>
      <c r="I122" s="136">
        <f t="shared" ref="I122:I134" si="149">+G122/F122</f>
        <v>1</v>
      </c>
      <c r="J122" s="136"/>
      <c r="K122" s="136">
        <f t="shared" ref="K122:K134" si="150">+(G122/F122)*E122</f>
        <v>0.2</v>
      </c>
      <c r="L122" s="136"/>
      <c r="M122" s="130">
        <v>18</v>
      </c>
      <c r="N122" s="550"/>
      <c r="O122" s="550"/>
      <c r="P122" s="130"/>
      <c r="Q122" s="130"/>
      <c r="R122" s="130">
        <f t="shared" ref="R122:R133" si="151">+N122+O122+P122+Q122</f>
        <v>0</v>
      </c>
      <c r="S122" s="130">
        <f t="shared" ref="S122:S133" si="152">+R122+M122</f>
        <v>18</v>
      </c>
      <c r="T122" s="152">
        <f t="shared" ref="T122:T134" si="153">+(M122/G122)</f>
        <v>1</v>
      </c>
      <c r="U122" s="152"/>
      <c r="V122" s="152">
        <f t="shared" ref="V122:V134" si="154">+T122*E122</f>
        <v>0.2</v>
      </c>
      <c r="W122" s="152"/>
      <c r="X122" s="152">
        <f t="shared" ref="X122:X134" si="155">+M122/F122</f>
        <v>1</v>
      </c>
      <c r="Y122" s="197">
        <f t="shared" si="135"/>
        <v>1</v>
      </c>
      <c r="Z122" s="197">
        <f>+X122*E122</f>
        <v>0.2</v>
      </c>
      <c r="AA122" s="197">
        <f>+Y122*E122</f>
        <v>0.2</v>
      </c>
    </row>
    <row r="123" spans="1:27" ht="51.6" customHeight="1" thickBot="1" x14ac:dyDescent="0.4">
      <c r="A123" s="110"/>
      <c r="B123" s="140" t="s">
        <v>908</v>
      </c>
      <c r="C123" s="202" t="s">
        <v>1350</v>
      </c>
      <c r="D123" s="191" t="s">
        <v>907</v>
      </c>
      <c r="E123" s="195">
        <v>0.2</v>
      </c>
      <c r="F123" s="193">
        <v>1</v>
      </c>
      <c r="G123" s="130">
        <v>0</v>
      </c>
      <c r="H123" s="130">
        <v>1</v>
      </c>
      <c r="I123" s="136"/>
      <c r="J123" s="136">
        <f t="shared" si="125"/>
        <v>1</v>
      </c>
      <c r="K123" s="136"/>
      <c r="L123" s="136">
        <f t="shared" si="126"/>
        <v>0.2</v>
      </c>
      <c r="M123" s="130"/>
      <c r="N123" s="550">
        <v>0.8</v>
      </c>
      <c r="O123" s="550">
        <v>0.2</v>
      </c>
      <c r="P123" s="550">
        <v>0</v>
      </c>
      <c r="Q123" s="130"/>
      <c r="R123" s="164">
        <f t="shared" si="151"/>
        <v>1</v>
      </c>
      <c r="S123" s="164">
        <f t="shared" si="152"/>
        <v>1</v>
      </c>
      <c r="T123" s="152"/>
      <c r="U123" s="152">
        <f t="shared" ref="U123:U134" si="156">+R123/H123</f>
        <v>1</v>
      </c>
      <c r="V123" s="152"/>
      <c r="W123" s="152">
        <f t="shared" si="132"/>
        <v>0.2</v>
      </c>
      <c r="X123" s="152"/>
      <c r="Y123" s="197">
        <f t="shared" si="135"/>
        <v>1</v>
      </c>
      <c r="Z123" s="197"/>
      <c r="AA123" s="197">
        <f t="shared" ref="AA123:AA134" si="157">+Y123*E123</f>
        <v>0.2</v>
      </c>
    </row>
    <row r="124" spans="1:27" ht="108.6" customHeight="1" thickBot="1" x14ac:dyDescent="0.4">
      <c r="A124" s="110"/>
      <c r="B124" s="140" t="s">
        <v>909</v>
      </c>
      <c r="C124" s="202" t="s">
        <v>1351</v>
      </c>
      <c r="D124" s="191" t="s">
        <v>907</v>
      </c>
      <c r="E124" s="195">
        <v>0.1</v>
      </c>
      <c r="F124" s="193">
        <v>1</v>
      </c>
      <c r="G124" s="130">
        <v>0</v>
      </c>
      <c r="H124" s="130">
        <v>1</v>
      </c>
      <c r="I124" s="136"/>
      <c r="J124" s="136">
        <f t="shared" si="125"/>
        <v>1</v>
      </c>
      <c r="K124" s="136"/>
      <c r="L124" s="136">
        <f t="shared" si="126"/>
        <v>0.1</v>
      </c>
      <c r="M124" s="130"/>
      <c r="N124" s="550">
        <v>0</v>
      </c>
      <c r="O124" s="550">
        <v>0</v>
      </c>
      <c r="P124" s="550">
        <v>0</v>
      </c>
      <c r="Q124" s="130"/>
      <c r="R124" s="130">
        <f t="shared" si="151"/>
        <v>0</v>
      </c>
      <c r="S124" s="130">
        <f t="shared" si="152"/>
        <v>0</v>
      </c>
      <c r="T124" s="152"/>
      <c r="U124" s="152">
        <f t="shared" si="156"/>
        <v>0</v>
      </c>
      <c r="V124" s="152"/>
      <c r="W124" s="152">
        <f t="shared" si="132"/>
        <v>0</v>
      </c>
      <c r="X124" s="152"/>
      <c r="Y124" s="197">
        <v>0</v>
      </c>
      <c r="Z124" s="197"/>
      <c r="AA124" s="197">
        <f t="shared" si="157"/>
        <v>0</v>
      </c>
    </row>
    <row r="125" spans="1:27" ht="78.599999999999994" customHeight="1" thickBot="1" x14ac:dyDescent="0.4">
      <c r="A125" s="110"/>
      <c r="B125" s="140" t="s">
        <v>910</v>
      </c>
      <c r="C125" s="202" t="s">
        <v>1352</v>
      </c>
      <c r="D125" s="191" t="s">
        <v>907</v>
      </c>
      <c r="E125" s="195">
        <v>0.03</v>
      </c>
      <c r="F125" s="193">
        <v>1</v>
      </c>
      <c r="G125" s="130">
        <v>1</v>
      </c>
      <c r="H125" s="130">
        <v>0</v>
      </c>
      <c r="I125" s="136">
        <f t="shared" si="149"/>
        <v>1</v>
      </c>
      <c r="J125" s="136"/>
      <c r="K125" s="136">
        <f t="shared" si="150"/>
        <v>0.03</v>
      </c>
      <c r="L125" s="136"/>
      <c r="M125" s="130">
        <v>1</v>
      </c>
      <c r="N125" s="550"/>
      <c r="O125" s="550"/>
      <c r="P125" s="550"/>
      <c r="Q125" s="130"/>
      <c r="R125" s="130">
        <f t="shared" si="151"/>
        <v>0</v>
      </c>
      <c r="S125" s="130">
        <f t="shared" si="152"/>
        <v>1</v>
      </c>
      <c r="T125" s="152">
        <f t="shared" si="153"/>
        <v>1</v>
      </c>
      <c r="U125" s="152"/>
      <c r="V125" s="152">
        <f t="shared" si="154"/>
        <v>0.03</v>
      </c>
      <c r="W125" s="152"/>
      <c r="X125" s="152">
        <f t="shared" si="155"/>
        <v>1</v>
      </c>
      <c r="Y125" s="197">
        <f t="shared" si="135"/>
        <v>1</v>
      </c>
      <c r="Z125" s="197">
        <f>+X125*E125</f>
        <v>0.03</v>
      </c>
      <c r="AA125" s="197">
        <f t="shared" si="157"/>
        <v>0.03</v>
      </c>
    </row>
    <row r="126" spans="1:27" ht="61.8" customHeight="1" thickBot="1" x14ac:dyDescent="0.4">
      <c r="A126" s="110"/>
      <c r="B126" s="140" t="s">
        <v>911</v>
      </c>
      <c r="C126" s="202" t="s">
        <v>1353</v>
      </c>
      <c r="D126" s="191" t="s">
        <v>907</v>
      </c>
      <c r="E126" s="195">
        <v>0.1</v>
      </c>
      <c r="F126" s="193">
        <v>482</v>
      </c>
      <c r="G126" s="130">
        <v>0</v>
      </c>
      <c r="H126" s="130">
        <v>0</v>
      </c>
      <c r="I126" s="136"/>
      <c r="J126" s="136">
        <f t="shared" si="125"/>
        <v>0</v>
      </c>
      <c r="K126" s="136"/>
      <c r="L126" s="136">
        <f t="shared" si="126"/>
        <v>0</v>
      </c>
      <c r="M126" s="130"/>
      <c r="N126" s="550"/>
      <c r="O126" s="130"/>
      <c r="P126" s="130"/>
      <c r="Q126" s="130"/>
      <c r="R126" s="130">
        <f t="shared" si="151"/>
        <v>0</v>
      </c>
      <c r="S126" s="130">
        <f t="shared" si="152"/>
        <v>0</v>
      </c>
      <c r="T126" s="152"/>
      <c r="U126" s="152"/>
      <c r="V126" s="152"/>
      <c r="W126" s="152"/>
      <c r="X126" s="152"/>
      <c r="Y126" s="197"/>
      <c r="Z126" s="197"/>
      <c r="AA126" s="197">
        <f t="shared" si="157"/>
        <v>0</v>
      </c>
    </row>
    <row r="127" spans="1:27" ht="68.400000000000006" customHeight="1" thickBot="1" x14ac:dyDescent="0.4">
      <c r="A127" s="110"/>
      <c r="B127" s="140" t="s">
        <v>912</v>
      </c>
      <c r="C127" s="202" t="s">
        <v>1354</v>
      </c>
      <c r="D127" s="191" t="s">
        <v>907</v>
      </c>
      <c r="E127" s="195">
        <v>0.03</v>
      </c>
      <c r="F127" s="193">
        <v>1</v>
      </c>
      <c r="G127" s="130">
        <v>0.15</v>
      </c>
      <c r="H127" s="130">
        <v>0.2</v>
      </c>
      <c r="I127" s="136">
        <f t="shared" si="149"/>
        <v>0.15</v>
      </c>
      <c r="J127" s="136">
        <f t="shared" si="125"/>
        <v>0.2</v>
      </c>
      <c r="K127" s="136">
        <f t="shared" si="150"/>
        <v>4.4999999999999997E-3</v>
      </c>
      <c r="L127" s="136">
        <f t="shared" si="126"/>
        <v>6.0000000000000001E-3</v>
      </c>
      <c r="M127" s="130">
        <v>0.3</v>
      </c>
      <c r="N127" s="550">
        <v>0.2</v>
      </c>
      <c r="O127" s="550">
        <v>0.1</v>
      </c>
      <c r="P127" s="550">
        <v>0.5</v>
      </c>
      <c r="Q127" s="130"/>
      <c r="R127" s="130">
        <f t="shared" si="151"/>
        <v>0.8</v>
      </c>
      <c r="S127" s="130">
        <f t="shared" si="152"/>
        <v>1.1000000000000001</v>
      </c>
      <c r="T127" s="152">
        <v>1</v>
      </c>
      <c r="U127" s="152">
        <v>1</v>
      </c>
      <c r="V127" s="152">
        <f t="shared" si="154"/>
        <v>0.03</v>
      </c>
      <c r="W127" s="152">
        <f t="shared" si="132"/>
        <v>0.03</v>
      </c>
      <c r="X127" s="152">
        <f t="shared" si="155"/>
        <v>0.3</v>
      </c>
      <c r="Y127" s="197">
        <v>1</v>
      </c>
      <c r="Z127" s="197">
        <f t="shared" ref="Z127:Z134" si="158">+X127*E127</f>
        <v>8.9999999999999993E-3</v>
      </c>
      <c r="AA127" s="197">
        <f t="shared" si="157"/>
        <v>0.03</v>
      </c>
    </row>
    <row r="128" spans="1:27" ht="72" customHeight="1" thickBot="1" x14ac:dyDescent="0.4">
      <c r="A128" s="110"/>
      <c r="B128" s="140" t="s">
        <v>913</v>
      </c>
      <c r="C128" s="202" t="s">
        <v>1355</v>
      </c>
      <c r="D128" s="191" t="s">
        <v>907</v>
      </c>
      <c r="E128" s="195">
        <v>0.02</v>
      </c>
      <c r="F128" s="193">
        <v>25</v>
      </c>
      <c r="G128" s="130">
        <v>6</v>
      </c>
      <c r="H128" s="130">
        <v>6</v>
      </c>
      <c r="I128" s="136">
        <f t="shared" si="149"/>
        <v>0.24</v>
      </c>
      <c r="J128" s="136">
        <f t="shared" si="125"/>
        <v>0.24</v>
      </c>
      <c r="K128" s="136">
        <f t="shared" si="150"/>
        <v>4.7999999999999996E-3</v>
      </c>
      <c r="L128" s="136">
        <f t="shared" si="126"/>
        <v>4.7999999999999996E-3</v>
      </c>
      <c r="M128" s="203">
        <v>12</v>
      </c>
      <c r="N128" s="550">
        <v>3</v>
      </c>
      <c r="O128" s="550">
        <v>1</v>
      </c>
      <c r="P128" s="550">
        <v>0</v>
      </c>
      <c r="Q128" s="130"/>
      <c r="R128" s="130">
        <f t="shared" si="151"/>
        <v>4</v>
      </c>
      <c r="S128" s="130">
        <f t="shared" si="152"/>
        <v>16</v>
      </c>
      <c r="T128" s="152">
        <v>1</v>
      </c>
      <c r="U128" s="152">
        <f t="shared" si="156"/>
        <v>0.66666666666666663</v>
      </c>
      <c r="V128" s="152">
        <f t="shared" si="154"/>
        <v>0.02</v>
      </c>
      <c r="W128" s="152">
        <f t="shared" si="132"/>
        <v>1.3333333333333332E-2</v>
      </c>
      <c r="X128" s="152">
        <f t="shared" si="155"/>
        <v>0.48</v>
      </c>
      <c r="Y128" s="197">
        <f t="shared" si="135"/>
        <v>0.64</v>
      </c>
      <c r="Z128" s="197">
        <f t="shared" si="158"/>
        <v>9.5999999999999992E-3</v>
      </c>
      <c r="AA128" s="197">
        <f t="shared" si="157"/>
        <v>1.2800000000000001E-2</v>
      </c>
    </row>
    <row r="129" spans="1:27" ht="88.2" customHeight="1" thickBot="1" x14ac:dyDescent="0.4">
      <c r="A129" s="110"/>
      <c r="B129" s="800" t="s">
        <v>914</v>
      </c>
      <c r="C129" s="801" t="s">
        <v>1356</v>
      </c>
      <c r="D129" s="191" t="s">
        <v>915</v>
      </c>
      <c r="E129" s="195">
        <v>0.02</v>
      </c>
      <c r="F129" s="193">
        <v>3</v>
      </c>
      <c r="G129" s="130">
        <v>0</v>
      </c>
      <c r="H129" s="130">
        <v>1</v>
      </c>
      <c r="I129" s="136"/>
      <c r="J129" s="136">
        <f t="shared" si="125"/>
        <v>0.33333333333333331</v>
      </c>
      <c r="K129" s="136"/>
      <c r="L129" s="136">
        <f t="shared" si="126"/>
        <v>6.6666666666666662E-3</v>
      </c>
      <c r="M129" s="130"/>
      <c r="N129" s="550">
        <v>0.3</v>
      </c>
      <c r="O129" s="550">
        <v>0.4</v>
      </c>
      <c r="P129" s="550">
        <v>0</v>
      </c>
      <c r="Q129" s="130"/>
      <c r="R129" s="130">
        <f t="shared" si="151"/>
        <v>0.7</v>
      </c>
      <c r="S129" s="130">
        <f t="shared" si="152"/>
        <v>0.7</v>
      </c>
      <c r="T129" s="152"/>
      <c r="U129" s="152">
        <f t="shared" si="156"/>
        <v>0.7</v>
      </c>
      <c r="V129" s="152"/>
      <c r="W129" s="152">
        <f t="shared" si="132"/>
        <v>1.3999999999999999E-2</v>
      </c>
      <c r="X129" s="152"/>
      <c r="Y129" s="197">
        <f t="shared" si="135"/>
        <v>0.23333333333333331</v>
      </c>
      <c r="Z129" s="197"/>
      <c r="AA129" s="197">
        <f t="shared" si="157"/>
        <v>4.6666666666666662E-3</v>
      </c>
    </row>
    <row r="130" spans="1:27" ht="82.2" customHeight="1" thickBot="1" x14ac:dyDescent="0.4">
      <c r="A130" s="110"/>
      <c r="B130" s="800" t="s">
        <v>916</v>
      </c>
      <c r="C130" s="801" t="s">
        <v>1357</v>
      </c>
      <c r="D130" s="191" t="s">
        <v>917</v>
      </c>
      <c r="E130" s="195">
        <v>0.05</v>
      </c>
      <c r="F130" s="193">
        <v>3</v>
      </c>
      <c r="G130" s="130">
        <v>0</v>
      </c>
      <c r="H130" s="130">
        <v>0</v>
      </c>
      <c r="I130" s="136"/>
      <c r="J130" s="136">
        <f t="shared" si="125"/>
        <v>0</v>
      </c>
      <c r="K130" s="136"/>
      <c r="L130" s="136">
        <f t="shared" si="126"/>
        <v>0</v>
      </c>
      <c r="M130" s="130"/>
      <c r="N130" s="550"/>
      <c r="O130" s="130"/>
      <c r="P130" s="130"/>
      <c r="Q130" s="130"/>
      <c r="R130" s="130">
        <f t="shared" si="151"/>
        <v>0</v>
      </c>
      <c r="S130" s="130">
        <f t="shared" si="152"/>
        <v>0</v>
      </c>
      <c r="T130" s="152"/>
      <c r="U130" s="152"/>
      <c r="V130" s="152"/>
      <c r="W130" s="152"/>
      <c r="X130" s="152"/>
      <c r="Y130" s="197"/>
      <c r="Z130" s="197"/>
      <c r="AA130" s="197">
        <f t="shared" si="157"/>
        <v>0</v>
      </c>
    </row>
    <row r="131" spans="1:27" ht="84" customHeight="1" thickBot="1" x14ac:dyDescent="0.4">
      <c r="A131" s="110"/>
      <c r="B131" s="140" t="s">
        <v>918</v>
      </c>
      <c r="C131" s="202" t="s">
        <v>1358</v>
      </c>
      <c r="D131" s="191" t="s">
        <v>917</v>
      </c>
      <c r="E131" s="195">
        <v>0.16</v>
      </c>
      <c r="F131" s="193">
        <v>10</v>
      </c>
      <c r="G131" s="130">
        <v>2</v>
      </c>
      <c r="H131" s="130">
        <v>3</v>
      </c>
      <c r="I131" s="136">
        <f t="shared" si="149"/>
        <v>0.2</v>
      </c>
      <c r="J131" s="136">
        <f t="shared" si="125"/>
        <v>0.3</v>
      </c>
      <c r="K131" s="136">
        <f t="shared" si="150"/>
        <v>3.2000000000000001E-2</v>
      </c>
      <c r="L131" s="136">
        <f t="shared" si="126"/>
        <v>4.8000000000000001E-2</v>
      </c>
      <c r="M131" s="130">
        <v>2</v>
      </c>
      <c r="N131" s="550">
        <v>0</v>
      </c>
      <c r="O131" s="550">
        <v>0</v>
      </c>
      <c r="P131" s="550">
        <v>0</v>
      </c>
      <c r="Q131" s="130"/>
      <c r="R131" s="130">
        <f t="shared" si="151"/>
        <v>0</v>
      </c>
      <c r="S131" s="130">
        <f t="shared" si="152"/>
        <v>2</v>
      </c>
      <c r="T131" s="152">
        <f>+(M131/G131)</f>
        <v>1</v>
      </c>
      <c r="U131" s="152">
        <f t="shared" si="156"/>
        <v>0</v>
      </c>
      <c r="V131" s="152">
        <f>+T131*E131</f>
        <v>0.16</v>
      </c>
      <c r="W131" s="152">
        <f t="shared" si="132"/>
        <v>0</v>
      </c>
      <c r="X131" s="152">
        <f>+M131/F131</f>
        <v>0.2</v>
      </c>
      <c r="Y131" s="197">
        <f t="shared" si="135"/>
        <v>0.2</v>
      </c>
      <c r="Z131" s="197">
        <f>+X131*E131</f>
        <v>3.2000000000000001E-2</v>
      </c>
      <c r="AA131" s="197">
        <f t="shared" si="157"/>
        <v>3.2000000000000001E-2</v>
      </c>
    </row>
    <row r="132" spans="1:27" ht="54" customHeight="1" thickBot="1" x14ac:dyDescent="0.4">
      <c r="A132" s="110"/>
      <c r="B132" s="140" t="s">
        <v>919</v>
      </c>
      <c r="C132" s="202" t="s">
        <v>1359</v>
      </c>
      <c r="D132" s="191" t="s">
        <v>907</v>
      </c>
      <c r="E132" s="195">
        <v>0.02</v>
      </c>
      <c r="F132" s="193">
        <v>1</v>
      </c>
      <c r="G132" s="130">
        <v>0</v>
      </c>
      <c r="H132" s="130">
        <v>1</v>
      </c>
      <c r="I132" s="136"/>
      <c r="J132" s="136">
        <f t="shared" si="125"/>
        <v>1</v>
      </c>
      <c r="K132" s="136"/>
      <c r="L132" s="136">
        <f t="shared" si="126"/>
        <v>0.02</v>
      </c>
      <c r="M132" s="130"/>
      <c r="N132" s="550">
        <v>0.8</v>
      </c>
      <c r="O132" s="550">
        <v>0</v>
      </c>
      <c r="P132" s="550">
        <v>0.2</v>
      </c>
      <c r="Q132" s="130"/>
      <c r="R132" s="130">
        <f t="shared" si="151"/>
        <v>1</v>
      </c>
      <c r="S132" s="130">
        <f t="shared" si="152"/>
        <v>1</v>
      </c>
      <c r="T132" s="152"/>
      <c r="U132" s="152">
        <f t="shared" si="156"/>
        <v>1</v>
      </c>
      <c r="V132" s="152"/>
      <c r="W132" s="152">
        <f t="shared" si="132"/>
        <v>0.02</v>
      </c>
      <c r="X132" s="152"/>
      <c r="Y132" s="197">
        <f t="shared" si="135"/>
        <v>1</v>
      </c>
      <c r="Z132" s="197"/>
      <c r="AA132" s="197">
        <f t="shared" si="157"/>
        <v>0.02</v>
      </c>
    </row>
    <row r="133" spans="1:27" ht="90.6" customHeight="1" thickBot="1" x14ac:dyDescent="0.4">
      <c r="A133" s="110"/>
      <c r="B133" s="140" t="s">
        <v>920</v>
      </c>
      <c r="C133" s="202" t="s">
        <v>1360</v>
      </c>
      <c r="D133" s="191" t="s">
        <v>907</v>
      </c>
      <c r="E133" s="195">
        <v>0.02</v>
      </c>
      <c r="F133" s="193">
        <v>1</v>
      </c>
      <c r="G133" s="130">
        <v>1</v>
      </c>
      <c r="H133" s="130">
        <v>0</v>
      </c>
      <c r="I133" s="136">
        <f t="shared" si="149"/>
        <v>1</v>
      </c>
      <c r="J133" s="136"/>
      <c r="K133" s="136">
        <f t="shared" si="150"/>
        <v>0.02</v>
      </c>
      <c r="L133" s="136"/>
      <c r="M133" s="130">
        <v>1</v>
      </c>
      <c r="N133" s="550"/>
      <c r="O133" s="550"/>
      <c r="P133" s="550"/>
      <c r="Q133" s="130"/>
      <c r="R133" s="130">
        <f t="shared" si="151"/>
        <v>0</v>
      </c>
      <c r="S133" s="130">
        <f t="shared" si="152"/>
        <v>1</v>
      </c>
      <c r="T133" s="152">
        <f t="shared" si="153"/>
        <v>1</v>
      </c>
      <c r="U133" s="152"/>
      <c r="V133" s="152">
        <f t="shared" si="154"/>
        <v>0.02</v>
      </c>
      <c r="W133" s="152"/>
      <c r="X133" s="152">
        <f t="shared" si="155"/>
        <v>1</v>
      </c>
      <c r="Y133" s="197">
        <f t="shared" si="135"/>
        <v>1</v>
      </c>
      <c r="Z133" s="197">
        <f t="shared" si="158"/>
        <v>0.02</v>
      </c>
      <c r="AA133" s="197">
        <f t="shared" si="157"/>
        <v>0.02</v>
      </c>
    </row>
    <row r="134" spans="1:27" ht="100.95" customHeight="1" thickBot="1" x14ac:dyDescent="0.4">
      <c r="A134" s="110"/>
      <c r="B134" s="140" t="s">
        <v>921</v>
      </c>
      <c r="C134" s="202" t="s">
        <v>1361</v>
      </c>
      <c r="D134" s="204" t="s">
        <v>907</v>
      </c>
      <c r="E134" s="205">
        <v>0.05</v>
      </c>
      <c r="F134" s="193">
        <v>137302998</v>
      </c>
      <c r="G134" s="216">
        <v>32819130</v>
      </c>
      <c r="H134" s="216">
        <v>33803704</v>
      </c>
      <c r="I134" s="136">
        <f t="shared" si="149"/>
        <v>0.23902704586246543</v>
      </c>
      <c r="J134" s="136">
        <f t="shared" si="125"/>
        <v>0.24619785796665561</v>
      </c>
      <c r="K134" s="136">
        <f t="shared" si="150"/>
        <v>1.1951352293123272E-2</v>
      </c>
      <c r="L134" s="136">
        <f t="shared" si="126"/>
        <v>1.2309892898332781E-2</v>
      </c>
      <c r="M134" s="216">
        <v>26577198</v>
      </c>
      <c r="N134" s="553">
        <v>7665351</v>
      </c>
      <c r="O134" s="553">
        <v>7029082</v>
      </c>
      <c r="P134" s="553">
        <v>4761706</v>
      </c>
      <c r="Q134" s="216"/>
      <c r="R134" s="216">
        <f>+N134+O134+P134+Q134</f>
        <v>19456139</v>
      </c>
      <c r="S134" s="785">
        <f>+R134+30503658</f>
        <v>49959797</v>
      </c>
      <c r="T134" s="152">
        <f t="shared" si="153"/>
        <v>0.80980812105622546</v>
      </c>
      <c r="U134" s="152">
        <f t="shared" si="156"/>
        <v>0.5755623407423045</v>
      </c>
      <c r="V134" s="152">
        <f t="shared" si="154"/>
        <v>4.0490406052811276E-2</v>
      </c>
      <c r="W134" s="152">
        <f t="shared" si="132"/>
        <v>2.8778117037115226E-2</v>
      </c>
      <c r="X134" s="152">
        <f t="shared" si="155"/>
        <v>0.19356604289150336</v>
      </c>
      <c r="Y134" s="197">
        <f>+S134/F134</f>
        <v>0.36386530321792393</v>
      </c>
      <c r="Z134" s="197">
        <f t="shared" si="158"/>
        <v>9.6783021445751693E-3</v>
      </c>
      <c r="AA134" s="197">
        <f t="shared" si="157"/>
        <v>1.8193265160896196E-2</v>
      </c>
    </row>
    <row r="135" spans="1:27" ht="93" customHeight="1" thickBot="1" x14ac:dyDescent="0.4">
      <c r="A135" s="110"/>
      <c r="B135" s="976" t="s">
        <v>1744</v>
      </c>
      <c r="C135" s="981"/>
      <c r="D135" s="198"/>
      <c r="E135" s="201">
        <v>0.1</v>
      </c>
      <c r="F135" s="118">
        <f>+E135*V135</f>
        <v>5.3999446153846158E-2</v>
      </c>
      <c r="G135" s="123"/>
      <c r="H135" s="119">
        <f>+E135*W135</f>
        <v>4.4362209706896562E-2</v>
      </c>
      <c r="I135" s="121">
        <f>+(I136+I140+I144+I150+I159)/4</f>
        <v>0.23930555555555558</v>
      </c>
      <c r="J135" s="121">
        <f>+(J136+J140+J144+J150+J159)/5</f>
        <v>0.19171428571428567</v>
      </c>
      <c r="K135" s="122">
        <f>+(K136+K140+K144+K150+K159)/4</f>
        <v>0.17302083333333335</v>
      </c>
      <c r="L135" s="122">
        <f>+(L136+L140+L144+L150+L159)/5</f>
        <v>0.19663333333333333</v>
      </c>
      <c r="M135" s="123"/>
      <c r="N135" s="123"/>
      <c r="O135" s="123"/>
      <c r="P135" s="123"/>
      <c r="Q135" s="123"/>
      <c r="R135" s="123"/>
      <c r="S135" s="123"/>
      <c r="T135" s="121">
        <f>+(T136+T140+T144+T150+T159)/4</f>
        <v>0.90415128205128203</v>
      </c>
      <c r="U135" s="121">
        <f>+(U136+U140+U144+U150+U159)/4</f>
        <v>0.67813675862068967</v>
      </c>
      <c r="V135" s="122">
        <f>+V136+V140+V144+V150+V159</f>
        <v>0.53999446153846153</v>
      </c>
      <c r="W135" s="122">
        <f>+W136+W140+W144+W150+W159</f>
        <v>0.4436220970689656</v>
      </c>
      <c r="X135" s="121">
        <f>(X136+X140+X144+X150+X159)/4</f>
        <v>0.22665666666666667</v>
      </c>
      <c r="Y135" s="121">
        <f>(Y136+Y140+Y144+Y150+Y159)/4</f>
        <v>0.41948811111111106</v>
      </c>
      <c r="Z135" s="187">
        <f>+(Z136+Z140+Z144+Z150+Z159)</f>
        <v>0.15220140000000001</v>
      </c>
      <c r="AA135" s="187">
        <f>+(AA136*E136+AA140*E140+AA144*E144+AA150*E150+AA159*E159)</f>
        <v>0.36154136749999999</v>
      </c>
    </row>
    <row r="136" spans="1:27" ht="42.75" customHeight="1" thickBot="1" x14ac:dyDescent="0.4">
      <c r="A136" s="110"/>
      <c r="B136" s="970" t="s">
        <v>1745</v>
      </c>
      <c r="C136" s="981"/>
      <c r="D136" s="198"/>
      <c r="E136" s="199">
        <v>0.2</v>
      </c>
      <c r="F136" s="193"/>
      <c r="G136" s="123"/>
      <c r="H136" s="123"/>
      <c r="I136" s="129">
        <f>+AVERAGE(I137:I139)</f>
        <v>0.125</v>
      </c>
      <c r="J136" s="129">
        <f>+AVERAGE(J137:J139)</f>
        <v>0.25</v>
      </c>
      <c r="K136" s="129">
        <f>+K137+K138+K139</f>
        <v>5.6250000000000001E-2</v>
      </c>
      <c r="L136" s="129">
        <f>+L137+L138+L139</f>
        <v>0.36249999999999999</v>
      </c>
      <c r="M136" s="128"/>
      <c r="N136" s="128"/>
      <c r="O136" s="128"/>
      <c r="P136" s="128"/>
      <c r="Q136" s="128"/>
      <c r="R136" s="128"/>
      <c r="S136" s="128"/>
      <c r="T136" s="150">
        <f>+AVERAGE(T137:T139)</f>
        <v>1</v>
      </c>
      <c r="U136" s="150">
        <f>+AVERAGE(U137:U139)</f>
        <v>0.16515000000000002</v>
      </c>
      <c r="V136" s="150">
        <f>+(V137+V138+V139)*E136</f>
        <v>9.0000000000000011E-2</v>
      </c>
      <c r="W136" s="150">
        <f>+(W137+W138+W139)*E136</f>
        <v>2.9727000000000003E-2</v>
      </c>
      <c r="X136" s="129">
        <f>+AVERAGE(X137:X139)</f>
        <v>0.185</v>
      </c>
      <c r="Y136" s="129">
        <f>+X136+((Y137-X137)/3)</f>
        <v>0.21252499999999999</v>
      </c>
      <c r="Z136" s="189">
        <f>+(Z137+Z138+Z139)*E136</f>
        <v>1.6650000000000002E-2</v>
      </c>
      <c r="AA136" s="189">
        <f>+(AA137+AA138+AA139)</f>
        <v>0.12040875000000001</v>
      </c>
    </row>
    <row r="137" spans="1:27" ht="74.400000000000006" customHeight="1" thickBot="1" x14ac:dyDescent="0.4">
      <c r="A137" s="110"/>
      <c r="B137" s="140" t="s">
        <v>922</v>
      </c>
      <c r="C137" s="202" t="s">
        <v>1362</v>
      </c>
      <c r="D137" s="198" t="s">
        <v>790</v>
      </c>
      <c r="E137" s="195">
        <v>0.45</v>
      </c>
      <c r="F137" s="193">
        <v>40</v>
      </c>
      <c r="G137" s="130">
        <v>5</v>
      </c>
      <c r="H137" s="130">
        <v>10</v>
      </c>
      <c r="I137" s="136">
        <f>+G137/F137</f>
        <v>0.125</v>
      </c>
      <c r="J137" s="136">
        <f t="shared" ref="J137:J139" si="159">+H137/F137</f>
        <v>0.25</v>
      </c>
      <c r="K137" s="136">
        <f>+(G137/F137)*E137</f>
        <v>5.6250000000000001E-2</v>
      </c>
      <c r="L137" s="136">
        <f t="shared" ref="L137:L139" si="160">+(H137/F137)*E137</f>
        <v>0.1125</v>
      </c>
      <c r="M137" s="130">
        <v>7.4</v>
      </c>
      <c r="N137" s="550">
        <v>3.0000000000000001E-3</v>
      </c>
      <c r="O137" s="550">
        <v>2.2000000000000002</v>
      </c>
      <c r="P137" s="550">
        <v>1.1000000000000001</v>
      </c>
      <c r="Q137" s="130"/>
      <c r="R137" s="130">
        <f t="shared" ref="R137:R139" si="161">+N137+O137+P137+Q137</f>
        <v>3.3030000000000004</v>
      </c>
      <c r="S137" s="130">
        <f t="shared" ref="S137:S139" si="162">+R137+M137</f>
        <v>10.703000000000001</v>
      </c>
      <c r="T137" s="136">
        <v>1</v>
      </c>
      <c r="U137" s="136">
        <f t="shared" ref="U137:U154" si="163">+R137/H137</f>
        <v>0.33030000000000004</v>
      </c>
      <c r="V137" s="136">
        <f>+T137*E137</f>
        <v>0.45</v>
      </c>
      <c r="W137" s="136">
        <f t="shared" ref="W137:W139" si="164">+U137*E137</f>
        <v>0.14863500000000002</v>
      </c>
      <c r="X137" s="136">
        <f>+M137/F137</f>
        <v>0.185</v>
      </c>
      <c r="Y137" s="194">
        <f t="shared" ref="Y137" si="165">+S137/F137</f>
        <v>0.26757500000000001</v>
      </c>
      <c r="Z137" s="194">
        <f t="shared" ref="Z137:Z143" si="166">+X137*E137</f>
        <v>8.3250000000000005E-2</v>
      </c>
      <c r="AA137" s="194">
        <f>+Y137*E137</f>
        <v>0.12040875000000001</v>
      </c>
    </row>
    <row r="138" spans="1:27" ht="88.2" customHeight="1" thickBot="1" x14ac:dyDescent="0.4">
      <c r="A138" s="110"/>
      <c r="B138" s="140" t="s">
        <v>923</v>
      </c>
      <c r="C138" s="202" t="s">
        <v>1363</v>
      </c>
      <c r="D138" s="198" t="s">
        <v>924</v>
      </c>
      <c r="E138" s="195">
        <v>0.5</v>
      </c>
      <c r="F138" s="193">
        <v>140000</v>
      </c>
      <c r="G138" s="130">
        <v>0</v>
      </c>
      <c r="H138" s="130">
        <v>70000</v>
      </c>
      <c r="I138" s="136"/>
      <c r="J138" s="136">
        <f t="shared" si="159"/>
        <v>0.5</v>
      </c>
      <c r="K138" s="136"/>
      <c r="L138" s="136">
        <f t="shared" si="160"/>
        <v>0.25</v>
      </c>
      <c r="M138" s="130"/>
      <c r="N138" s="550">
        <v>0</v>
      </c>
      <c r="O138" s="550">
        <v>0</v>
      </c>
      <c r="P138" s="550">
        <v>0</v>
      </c>
      <c r="Q138" s="130"/>
      <c r="R138" s="130">
        <f t="shared" si="161"/>
        <v>0</v>
      </c>
      <c r="S138" s="130">
        <f t="shared" si="162"/>
        <v>0</v>
      </c>
      <c r="T138" s="136"/>
      <c r="U138" s="136">
        <f t="shared" si="163"/>
        <v>0</v>
      </c>
      <c r="V138" s="136"/>
      <c r="W138" s="136">
        <f t="shared" si="164"/>
        <v>0</v>
      </c>
      <c r="X138" s="136"/>
      <c r="Y138" s="194">
        <v>0</v>
      </c>
      <c r="Z138" s="194"/>
      <c r="AA138" s="194">
        <f t="shared" ref="AA138:AA139" si="167">+Y138*E138</f>
        <v>0</v>
      </c>
    </row>
    <row r="139" spans="1:27" ht="106.95" customHeight="1" thickBot="1" x14ac:dyDescent="0.4">
      <c r="A139" s="110"/>
      <c r="B139" s="133" t="s">
        <v>925</v>
      </c>
      <c r="C139" s="190" t="s">
        <v>1364</v>
      </c>
      <c r="D139" s="198" t="s">
        <v>1514</v>
      </c>
      <c r="E139" s="195">
        <v>0.05</v>
      </c>
      <c r="F139" s="193">
        <v>1</v>
      </c>
      <c r="G139" s="130">
        <v>0</v>
      </c>
      <c r="H139" s="130">
        <v>0</v>
      </c>
      <c r="I139" s="136"/>
      <c r="J139" s="136">
        <f t="shared" si="159"/>
        <v>0</v>
      </c>
      <c r="K139" s="136"/>
      <c r="L139" s="136">
        <f t="shared" si="160"/>
        <v>0</v>
      </c>
      <c r="M139" s="130"/>
      <c r="N139" s="550"/>
      <c r="O139" s="130"/>
      <c r="P139" s="130"/>
      <c r="Q139" s="130"/>
      <c r="R139" s="130">
        <f t="shared" si="161"/>
        <v>0</v>
      </c>
      <c r="S139" s="130">
        <f t="shared" si="162"/>
        <v>0</v>
      </c>
      <c r="T139" s="136"/>
      <c r="U139" s="136"/>
      <c r="V139" s="136"/>
      <c r="W139" s="136">
        <f t="shared" si="164"/>
        <v>0</v>
      </c>
      <c r="X139" s="136"/>
      <c r="Y139" s="194"/>
      <c r="Z139" s="194"/>
      <c r="AA139" s="194">
        <f t="shared" si="167"/>
        <v>0</v>
      </c>
    </row>
    <row r="140" spans="1:27" ht="57" customHeight="1" thickBot="1" x14ac:dyDescent="0.4">
      <c r="A140" s="110"/>
      <c r="B140" s="970" t="s">
        <v>1746</v>
      </c>
      <c r="C140" s="981"/>
      <c r="D140" s="198"/>
      <c r="E140" s="199">
        <v>0.15</v>
      </c>
      <c r="F140" s="193"/>
      <c r="G140" s="123"/>
      <c r="H140" s="123"/>
      <c r="I140" s="129">
        <f>+AVERAGE(I141:I143)</f>
        <v>0.27</v>
      </c>
      <c r="J140" s="129">
        <f>+AVERAGE(J141:J143)</f>
        <v>0.33333333333333331</v>
      </c>
      <c r="K140" s="129">
        <f>+K141+K142+K143</f>
        <v>0.22900000000000001</v>
      </c>
      <c r="L140" s="129">
        <f>+L141+L142+L143</f>
        <v>0.26250000000000001</v>
      </c>
      <c r="M140" s="128"/>
      <c r="N140" s="128"/>
      <c r="O140" s="128"/>
      <c r="P140" s="128"/>
      <c r="Q140" s="128"/>
      <c r="R140" s="128"/>
      <c r="S140" s="128"/>
      <c r="T140" s="150">
        <f>+AVERAGE(T141:T143)</f>
        <v>0.84660512820512823</v>
      </c>
      <c r="U140" s="150">
        <f>+AVERAGE(U141:U143)</f>
        <v>0.971966</v>
      </c>
      <c r="V140" s="150">
        <f>+(V141+V142+V143)*E140</f>
        <v>0.13619446153846154</v>
      </c>
      <c r="W140" s="150">
        <f>+(W141+W142+W143)*E140</f>
        <v>0.14936923499999999</v>
      </c>
      <c r="X140" s="129">
        <f>+AVERAGE(X141:X143)</f>
        <v>0.2016266666666667</v>
      </c>
      <c r="Y140" s="129">
        <f>+AVERAGE(Y141:Y143)</f>
        <v>0.65464966666666669</v>
      </c>
      <c r="Z140" s="189">
        <f>+(Z141+Z142+Z143)*E140</f>
        <v>3.5951400000000001E-2</v>
      </c>
      <c r="AA140" s="189">
        <f>+(AA141+AA142+AA143)</f>
        <v>0.58139744999999998</v>
      </c>
    </row>
    <row r="141" spans="1:27" ht="108" customHeight="1" thickBot="1" x14ac:dyDescent="0.4">
      <c r="A141" s="110"/>
      <c r="B141" s="133" t="s">
        <v>926</v>
      </c>
      <c r="C141" s="190" t="s">
        <v>1365</v>
      </c>
      <c r="D141" s="198" t="s">
        <v>927</v>
      </c>
      <c r="E141" s="195">
        <v>0.05</v>
      </c>
      <c r="F141" s="193">
        <v>10</v>
      </c>
      <c r="G141" s="130">
        <v>0.3</v>
      </c>
      <c r="H141" s="665">
        <v>5</v>
      </c>
      <c r="I141" s="136">
        <f>+G141/F141</f>
        <v>0.03</v>
      </c>
      <c r="J141" s="136">
        <f t="shared" ref="J141:J143" si="168">+H141/F141</f>
        <v>0.5</v>
      </c>
      <c r="K141" s="136">
        <f>+(G141/F141)*E141</f>
        <v>1.5E-3</v>
      </c>
      <c r="L141" s="136">
        <f t="shared" ref="L141:L143" si="169">+(H141/F141)*E141</f>
        <v>2.5000000000000001E-2</v>
      </c>
      <c r="M141" s="130">
        <v>0.3</v>
      </c>
      <c r="N141" s="550">
        <v>0</v>
      </c>
      <c r="O141" s="550">
        <v>0.57948999999999995</v>
      </c>
      <c r="P141" s="550">
        <v>4</v>
      </c>
      <c r="Q141" s="130"/>
      <c r="R141" s="130">
        <f t="shared" ref="R141:R143" si="170">+N141+O141+P141+Q141</f>
        <v>4.5794899999999998</v>
      </c>
      <c r="S141" s="130">
        <f t="shared" ref="S141" si="171">+R141+M141</f>
        <v>4.8794899999999997</v>
      </c>
      <c r="T141" s="136">
        <f>+(M141/G141)</f>
        <v>1</v>
      </c>
      <c r="U141" s="136">
        <f>+R141/H141</f>
        <v>0.91589799999999999</v>
      </c>
      <c r="V141" s="136">
        <f>+T141*E141</f>
        <v>0.05</v>
      </c>
      <c r="W141" s="136">
        <f>+U141*E141</f>
        <v>4.5794899999999999E-2</v>
      </c>
      <c r="X141" s="136">
        <f>+M141/F141</f>
        <v>0.03</v>
      </c>
      <c r="Y141" s="194">
        <f t="shared" ref="Y141" si="172">+S141/F141</f>
        <v>0.48794899999999997</v>
      </c>
      <c r="Z141" s="194">
        <f t="shared" si="166"/>
        <v>1.5E-3</v>
      </c>
      <c r="AA141" s="194">
        <f>+Y141*E141</f>
        <v>2.4397450000000001E-2</v>
      </c>
    </row>
    <row r="142" spans="1:27" ht="181.2" customHeight="1" thickBot="1" x14ac:dyDescent="0.4">
      <c r="A142" s="110"/>
      <c r="B142" s="133" t="s">
        <v>928</v>
      </c>
      <c r="C142" s="190" t="s">
        <v>1366</v>
      </c>
      <c r="D142" s="198" t="s">
        <v>927</v>
      </c>
      <c r="E142" s="195">
        <v>0.75</v>
      </c>
      <c r="F142" s="193">
        <v>1</v>
      </c>
      <c r="G142" s="130">
        <v>0.13</v>
      </c>
      <c r="H142" s="130">
        <v>0.25</v>
      </c>
      <c r="I142" s="136">
        <f>+G142/F142</f>
        <v>0.13</v>
      </c>
      <c r="J142" s="136">
        <f t="shared" si="168"/>
        <v>0.25</v>
      </c>
      <c r="K142" s="136">
        <f>+(G142/F142)*E142</f>
        <v>9.7500000000000003E-2</v>
      </c>
      <c r="L142" s="136">
        <f t="shared" si="169"/>
        <v>0.1875</v>
      </c>
      <c r="M142" s="130">
        <v>0.224</v>
      </c>
      <c r="N142" s="550">
        <f>0.296-M142</f>
        <v>7.1999999999999981E-2</v>
      </c>
      <c r="O142" s="550">
        <v>0</v>
      </c>
      <c r="P142" s="550">
        <v>0.18</v>
      </c>
      <c r="Q142" s="130"/>
      <c r="R142" s="130">
        <f t="shared" si="170"/>
        <v>0.252</v>
      </c>
      <c r="S142" s="130">
        <f>+R142+M142</f>
        <v>0.47599999999999998</v>
      </c>
      <c r="T142" s="136">
        <v>1</v>
      </c>
      <c r="U142" s="136">
        <v>1</v>
      </c>
      <c r="V142" s="136">
        <f>+T142*E142</f>
        <v>0.75</v>
      </c>
      <c r="W142" s="136">
        <f t="shared" ref="W142:W143" si="173">+U142*E142</f>
        <v>0.75</v>
      </c>
      <c r="X142" s="136">
        <f>+M142/F142</f>
        <v>0.224</v>
      </c>
      <c r="Y142" s="194">
        <f>+S142/F142</f>
        <v>0.47599999999999998</v>
      </c>
      <c r="Z142" s="194">
        <f>+X142*E142</f>
        <v>0.16800000000000001</v>
      </c>
      <c r="AA142" s="194">
        <f>+Y142*E142</f>
        <v>0.35699999999999998</v>
      </c>
    </row>
    <row r="143" spans="1:27" ht="108.6" customHeight="1" thickBot="1" x14ac:dyDescent="0.4">
      <c r="A143" s="110"/>
      <c r="B143" s="800" t="s">
        <v>929</v>
      </c>
      <c r="C143" s="801" t="s">
        <v>1367</v>
      </c>
      <c r="D143" s="217" t="s">
        <v>927</v>
      </c>
      <c r="E143" s="195">
        <v>0.2</v>
      </c>
      <c r="F143" s="193">
        <v>100000</v>
      </c>
      <c r="G143" s="130">
        <f>40000+25000</f>
        <v>65000</v>
      </c>
      <c r="H143" s="130">
        <v>25000</v>
      </c>
      <c r="I143" s="136">
        <f>+G143/F143</f>
        <v>0.65</v>
      </c>
      <c r="J143" s="136">
        <f t="shared" si="168"/>
        <v>0.25</v>
      </c>
      <c r="K143" s="136">
        <f>+(G143/F143)*E143</f>
        <v>0.13</v>
      </c>
      <c r="L143" s="136">
        <f t="shared" si="169"/>
        <v>0.05</v>
      </c>
      <c r="M143" s="130">
        <v>35088</v>
      </c>
      <c r="N143" s="550">
        <v>28873</v>
      </c>
      <c r="O143" s="550">
        <v>694</v>
      </c>
      <c r="P143" s="550">
        <f>6826+112289</f>
        <v>119115</v>
      </c>
      <c r="Q143" s="130"/>
      <c r="R143" s="130">
        <f t="shared" si="170"/>
        <v>148682</v>
      </c>
      <c r="S143" s="216">
        <f>+R143+M143+19455+28873</f>
        <v>232098</v>
      </c>
      <c r="T143" s="136">
        <f>+(M143/G143)</f>
        <v>0.53981538461538459</v>
      </c>
      <c r="U143" s="136">
        <v>1</v>
      </c>
      <c r="V143" s="136">
        <f>+T143*E143</f>
        <v>0.10796307692307693</v>
      </c>
      <c r="W143" s="136">
        <f t="shared" si="173"/>
        <v>0.2</v>
      </c>
      <c r="X143" s="136">
        <f>+M143/F143</f>
        <v>0.35088000000000003</v>
      </c>
      <c r="Y143" s="194">
        <v>1</v>
      </c>
      <c r="Z143" s="194">
        <f t="shared" si="166"/>
        <v>7.0176000000000002E-2</v>
      </c>
      <c r="AA143" s="194">
        <f>+Y143*E143</f>
        <v>0.2</v>
      </c>
    </row>
    <row r="144" spans="1:27" ht="121.95" customHeight="1" thickBot="1" x14ac:dyDescent="0.4">
      <c r="A144" s="110"/>
      <c r="B144" s="970" t="s">
        <v>1677</v>
      </c>
      <c r="C144" s="981"/>
      <c r="D144" s="198"/>
      <c r="E144" s="199">
        <v>0.25</v>
      </c>
      <c r="F144" s="193"/>
      <c r="G144" s="123"/>
      <c r="H144" s="123"/>
      <c r="I144" s="129">
        <f>+AVERAGE(I145:I149)</f>
        <v>0.42000000000000004</v>
      </c>
      <c r="J144" s="129">
        <f>+AVERAGE(J145:J149)</f>
        <v>0.19</v>
      </c>
      <c r="K144" s="129">
        <f>+K145+K146+K147+K148+K149</f>
        <v>0.30500000000000005</v>
      </c>
      <c r="L144" s="129">
        <f>+L145+L146+L147+L148+L149</f>
        <v>0.11000000000000001</v>
      </c>
      <c r="M144" s="128"/>
      <c r="N144" s="128"/>
      <c r="O144" s="128"/>
      <c r="P144" s="128"/>
      <c r="Q144" s="128"/>
      <c r="R144" s="128"/>
      <c r="S144" s="128"/>
      <c r="T144" s="150">
        <f>+AVERAGE(T145:T149)</f>
        <v>0.96666666666666667</v>
      </c>
      <c r="U144" s="150">
        <f>+AVERAGE(U145:U149)</f>
        <v>0.9</v>
      </c>
      <c r="V144" s="150">
        <f>+(V145+V146+V147+V148+V149)*E144</f>
        <v>8.2500000000000004E-2</v>
      </c>
      <c r="W144" s="150">
        <f>+(W145+W146+W147+W148+W149)*E144</f>
        <v>8.3750000000000019E-2</v>
      </c>
      <c r="X144" s="129">
        <f>+AVERAGE(X145:X149)</f>
        <v>0.4</v>
      </c>
      <c r="Y144" s="129">
        <f>+AVERAGE(Y145:Y149)</f>
        <v>0.44800000000000006</v>
      </c>
      <c r="Z144" s="189">
        <f>+(Z145+Z146+Z147+Z148+Z149)*E144</f>
        <v>7.1250000000000008E-2</v>
      </c>
      <c r="AA144" s="189">
        <f>+(AA145+AA146+AA147+AA148+AA149)</f>
        <v>0.31200000000000006</v>
      </c>
    </row>
    <row r="145" spans="1:27" ht="120.6" customHeight="1" thickBot="1" x14ac:dyDescent="0.4">
      <c r="A145" s="110"/>
      <c r="B145" s="800" t="s">
        <v>930</v>
      </c>
      <c r="C145" s="801" t="s">
        <v>1368</v>
      </c>
      <c r="D145" s="191" t="s">
        <v>1515</v>
      </c>
      <c r="E145" s="195">
        <v>0.5</v>
      </c>
      <c r="F145" s="193">
        <v>10</v>
      </c>
      <c r="G145" s="130">
        <v>0</v>
      </c>
      <c r="H145" s="130">
        <v>0</v>
      </c>
      <c r="I145" s="136">
        <v>0</v>
      </c>
      <c r="J145" s="136">
        <f t="shared" ref="J145:J149" si="174">+H145/F145</f>
        <v>0</v>
      </c>
      <c r="K145" s="136"/>
      <c r="L145" s="136">
        <f t="shared" ref="L145:L149" si="175">+(H145/F145)*E145</f>
        <v>0</v>
      </c>
      <c r="M145" s="130"/>
      <c r="N145" s="550">
        <v>0</v>
      </c>
      <c r="O145" s="550">
        <v>0</v>
      </c>
      <c r="P145" s="550">
        <v>0</v>
      </c>
      <c r="Q145" s="130"/>
      <c r="R145" s="130">
        <f t="shared" ref="R145:R149" si="176">+N145+O145+P145+Q145</f>
        <v>0</v>
      </c>
      <c r="S145" s="130">
        <f t="shared" ref="S145:S149" si="177">+R145+M145</f>
        <v>0</v>
      </c>
      <c r="T145" s="152"/>
      <c r="U145" s="152"/>
      <c r="V145" s="152"/>
      <c r="W145" s="152">
        <f t="shared" ref="W145:W148" si="178">+U145*E145</f>
        <v>0</v>
      </c>
      <c r="X145" s="152">
        <v>0</v>
      </c>
      <c r="Y145" s="197">
        <f t="shared" ref="Y145:Y149" si="179">+S145/F145</f>
        <v>0</v>
      </c>
      <c r="Z145" s="197">
        <v>0</v>
      </c>
      <c r="AA145" s="197">
        <f t="shared" ref="AA145" si="180">+Y145*E145</f>
        <v>0</v>
      </c>
    </row>
    <row r="146" spans="1:27" ht="55.2" customHeight="1" thickBot="1" x14ac:dyDescent="0.4">
      <c r="A146" s="110"/>
      <c r="B146" s="133" t="s">
        <v>931</v>
      </c>
      <c r="C146" s="190" t="s">
        <v>1369</v>
      </c>
      <c r="D146" s="191" t="s">
        <v>790</v>
      </c>
      <c r="E146" s="195">
        <v>0.1</v>
      </c>
      <c r="F146" s="193">
        <v>1</v>
      </c>
      <c r="G146" s="130">
        <v>1</v>
      </c>
      <c r="H146" s="130">
        <v>0.5</v>
      </c>
      <c r="I146" s="136">
        <f>+G146/F146</f>
        <v>1</v>
      </c>
      <c r="J146" s="136">
        <f t="shared" si="174"/>
        <v>0.5</v>
      </c>
      <c r="K146" s="136">
        <f>+(G146/F146)*E146</f>
        <v>0.1</v>
      </c>
      <c r="L146" s="136">
        <f t="shared" si="175"/>
        <v>0.05</v>
      </c>
      <c r="M146" s="164">
        <v>1</v>
      </c>
      <c r="N146" s="550">
        <v>0</v>
      </c>
      <c r="O146" s="550">
        <v>0.8</v>
      </c>
      <c r="P146" s="550">
        <v>0.6</v>
      </c>
      <c r="Q146" s="130"/>
      <c r="R146" s="130">
        <f t="shared" si="176"/>
        <v>1.4</v>
      </c>
      <c r="S146" s="130">
        <f t="shared" si="177"/>
        <v>2.4</v>
      </c>
      <c r="T146" s="152">
        <f>+(M146/G146)</f>
        <v>1</v>
      </c>
      <c r="U146" s="152">
        <v>1</v>
      </c>
      <c r="V146" s="152">
        <f>+T146*E146</f>
        <v>0.1</v>
      </c>
      <c r="W146" s="152">
        <f t="shared" si="178"/>
        <v>0.1</v>
      </c>
      <c r="X146" s="152">
        <f>+M146/F146</f>
        <v>1</v>
      </c>
      <c r="Y146" s="197">
        <v>1</v>
      </c>
      <c r="Z146" s="197">
        <f>+X146*E146</f>
        <v>0.1</v>
      </c>
      <c r="AA146" s="197">
        <f>+Y146*E146</f>
        <v>0.1</v>
      </c>
    </row>
    <row r="147" spans="1:27" ht="54.6" customHeight="1" thickBot="1" x14ac:dyDescent="0.4">
      <c r="A147" s="110"/>
      <c r="B147" s="133" t="s">
        <v>932</v>
      </c>
      <c r="C147" s="190" t="s">
        <v>1370</v>
      </c>
      <c r="D147" s="191" t="s">
        <v>790</v>
      </c>
      <c r="E147" s="195">
        <v>0.2</v>
      </c>
      <c r="F147" s="193">
        <v>1</v>
      </c>
      <c r="G147" s="130">
        <v>1</v>
      </c>
      <c r="H147" s="130">
        <v>0.25</v>
      </c>
      <c r="I147" s="136">
        <f>+G147/F147</f>
        <v>1</v>
      </c>
      <c r="J147" s="136">
        <f t="shared" si="174"/>
        <v>0.25</v>
      </c>
      <c r="K147" s="136">
        <f>+(G147/F147)*E147</f>
        <v>0.2</v>
      </c>
      <c r="L147" s="136">
        <f t="shared" si="175"/>
        <v>0.05</v>
      </c>
      <c r="M147" s="130">
        <v>0.9</v>
      </c>
      <c r="N147" s="550">
        <v>0.15</v>
      </c>
      <c r="O147" s="550">
        <v>0.26</v>
      </c>
      <c r="P147" s="550">
        <v>0.16</v>
      </c>
      <c r="Q147" s="130"/>
      <c r="R147" s="130">
        <f t="shared" si="176"/>
        <v>0.57000000000000006</v>
      </c>
      <c r="S147" s="130">
        <f t="shared" si="177"/>
        <v>1.4700000000000002</v>
      </c>
      <c r="T147" s="152">
        <f>+(M147/G147)</f>
        <v>0.9</v>
      </c>
      <c r="U147" s="152">
        <v>1</v>
      </c>
      <c r="V147" s="152">
        <f>+T147*E147</f>
        <v>0.18000000000000002</v>
      </c>
      <c r="W147" s="152">
        <f t="shared" si="178"/>
        <v>0.2</v>
      </c>
      <c r="X147" s="152">
        <f>+M147/F147</f>
        <v>0.9</v>
      </c>
      <c r="Y147" s="197">
        <v>1</v>
      </c>
      <c r="Z147" s="197">
        <f>+X147*E147</f>
        <v>0.18000000000000002</v>
      </c>
      <c r="AA147" s="197">
        <f t="shared" ref="AA147:AA149" si="181">+Y147*E147</f>
        <v>0.2</v>
      </c>
    </row>
    <row r="148" spans="1:27" ht="78.599999999999994" customHeight="1" thickBot="1" x14ac:dyDescent="0.4">
      <c r="A148" s="110"/>
      <c r="B148" s="133" t="s">
        <v>933</v>
      </c>
      <c r="C148" s="190" t="s">
        <v>1371</v>
      </c>
      <c r="D148" s="191" t="s">
        <v>560</v>
      </c>
      <c r="E148" s="195">
        <v>0.05</v>
      </c>
      <c r="F148" s="193">
        <v>1</v>
      </c>
      <c r="G148" s="211">
        <v>0.1</v>
      </c>
      <c r="H148" s="211">
        <v>0.2</v>
      </c>
      <c r="I148" s="136">
        <f>+G148/F148</f>
        <v>0.1</v>
      </c>
      <c r="J148" s="136">
        <f t="shared" si="174"/>
        <v>0.2</v>
      </c>
      <c r="K148" s="136">
        <f>+(G148/F148)*E148</f>
        <v>5.000000000000001E-3</v>
      </c>
      <c r="L148" s="136">
        <f t="shared" si="175"/>
        <v>1.0000000000000002E-2</v>
      </c>
      <c r="M148" s="218">
        <v>0.1</v>
      </c>
      <c r="N148" s="554">
        <v>0.02</v>
      </c>
      <c r="O148" s="554">
        <v>0.04</v>
      </c>
      <c r="P148" s="554">
        <v>0.08</v>
      </c>
      <c r="Q148" s="218"/>
      <c r="R148" s="218">
        <f t="shared" si="176"/>
        <v>0.14000000000000001</v>
      </c>
      <c r="S148" s="218">
        <f t="shared" si="177"/>
        <v>0.24000000000000002</v>
      </c>
      <c r="T148" s="152">
        <f>+(M148/G148)</f>
        <v>1</v>
      </c>
      <c r="U148" s="152">
        <f t="shared" si="163"/>
        <v>0.70000000000000007</v>
      </c>
      <c r="V148" s="152">
        <f>+T148*E148</f>
        <v>0.05</v>
      </c>
      <c r="W148" s="152">
        <f t="shared" si="178"/>
        <v>3.5000000000000003E-2</v>
      </c>
      <c r="X148" s="152">
        <f>+M148/F148</f>
        <v>0.1</v>
      </c>
      <c r="Y148" s="197">
        <f t="shared" si="179"/>
        <v>0.24000000000000002</v>
      </c>
      <c r="Z148" s="197">
        <f>+X148*E148</f>
        <v>5.000000000000001E-3</v>
      </c>
      <c r="AA148" s="197">
        <f t="shared" si="181"/>
        <v>1.2000000000000002E-2</v>
      </c>
    </row>
    <row r="149" spans="1:27" ht="70.95" customHeight="1" thickBot="1" x14ac:dyDescent="0.4">
      <c r="A149" s="110"/>
      <c r="B149" s="133" t="s">
        <v>934</v>
      </c>
      <c r="C149" s="190" t="s">
        <v>1372</v>
      </c>
      <c r="D149" s="191" t="s">
        <v>1491</v>
      </c>
      <c r="E149" s="195">
        <v>0.15</v>
      </c>
      <c r="F149" s="193">
        <v>1</v>
      </c>
      <c r="G149" s="211">
        <v>0</v>
      </c>
      <c r="H149" s="211">
        <v>0</v>
      </c>
      <c r="I149" s="136">
        <v>0</v>
      </c>
      <c r="J149" s="136">
        <f t="shared" si="174"/>
        <v>0</v>
      </c>
      <c r="K149" s="136"/>
      <c r="L149" s="136">
        <f t="shared" si="175"/>
        <v>0</v>
      </c>
      <c r="M149" s="220"/>
      <c r="N149" s="555"/>
      <c r="O149" s="220"/>
      <c r="P149" s="220"/>
      <c r="Q149" s="220"/>
      <c r="R149" s="220">
        <f t="shared" si="176"/>
        <v>0</v>
      </c>
      <c r="S149" s="220">
        <f t="shared" si="177"/>
        <v>0</v>
      </c>
      <c r="T149" s="152"/>
      <c r="U149" s="152"/>
      <c r="V149" s="152"/>
      <c r="W149" s="152">
        <f>+U149*E149</f>
        <v>0</v>
      </c>
      <c r="X149" s="152">
        <v>0</v>
      </c>
      <c r="Y149" s="197">
        <f t="shared" si="179"/>
        <v>0</v>
      </c>
      <c r="Z149" s="197"/>
      <c r="AA149" s="197">
        <f t="shared" si="181"/>
        <v>0</v>
      </c>
    </row>
    <row r="150" spans="1:27" ht="57" customHeight="1" thickBot="1" x14ac:dyDescent="0.4">
      <c r="A150" s="110"/>
      <c r="B150" s="970" t="s">
        <v>1678</v>
      </c>
      <c r="C150" s="981"/>
      <c r="D150" s="198"/>
      <c r="E150" s="199">
        <v>0.3</v>
      </c>
      <c r="F150" s="193"/>
      <c r="G150" s="123"/>
      <c r="H150" s="123"/>
      <c r="I150" s="129">
        <f>+AVERAGE(I151:I158)</f>
        <v>0.14222222222222222</v>
      </c>
      <c r="J150" s="129">
        <f>+AVERAGE(J151:J158)</f>
        <v>0.18523809523809523</v>
      </c>
      <c r="K150" s="129">
        <f>+K151+K152+K153+K154+K155+K156+K157+K158</f>
        <v>0.10183333333333333</v>
      </c>
      <c r="L150" s="129">
        <f>+L151+L152+L153+L154+L155+L156+L157+L158</f>
        <v>0.24816666666666667</v>
      </c>
      <c r="M150" s="128"/>
      <c r="N150" s="128"/>
      <c r="O150" s="128"/>
      <c r="P150" s="128"/>
      <c r="Q150" s="128"/>
      <c r="R150" s="128"/>
      <c r="S150" s="128"/>
      <c r="T150" s="150">
        <f>+AVERAGE(T151:T158)</f>
        <v>0.80333333333333323</v>
      </c>
      <c r="U150" s="150">
        <f>+AVERAGE(U151:U158)</f>
        <v>0.67543103448275865</v>
      </c>
      <c r="V150" s="150">
        <f>+(V151+V152+V153+V154+V155+V156+V157+V158)*E150</f>
        <v>0.23130000000000001</v>
      </c>
      <c r="W150" s="150">
        <f>+(W151+W152+W153+W154+W155+W156+W157+W158)*E150</f>
        <v>0.18077586206896554</v>
      </c>
      <c r="X150" s="129">
        <f>+AVERAGE(X151:X158)</f>
        <v>0.12000000000000001</v>
      </c>
      <c r="Y150" s="129">
        <f>+AVERAGE(Y151:Y158)</f>
        <v>0.3627777777777777</v>
      </c>
      <c r="Z150" s="189">
        <f>+(Z151+Z152+Z153+Z154+Z155+Z156+Z157)*E150</f>
        <v>2.8350000000000004E-2</v>
      </c>
      <c r="AA150" s="189">
        <f>+(AA151+AA152+AA153+AA154+AA155+AA156+AA157)</f>
        <v>0.57416666666666671</v>
      </c>
    </row>
    <row r="151" spans="1:27" ht="87.6" customHeight="1" thickBot="1" x14ac:dyDescent="0.4">
      <c r="A151" s="110"/>
      <c r="B151" s="133" t="s">
        <v>935</v>
      </c>
      <c r="C151" s="190" t="s">
        <v>1373</v>
      </c>
      <c r="D151" s="221" t="s">
        <v>1908</v>
      </c>
      <c r="E151" s="222">
        <v>0.5</v>
      </c>
      <c r="F151" s="193">
        <v>10</v>
      </c>
      <c r="G151" s="130">
        <v>1</v>
      </c>
      <c r="H151" s="130">
        <v>4</v>
      </c>
      <c r="I151" s="136">
        <f t="shared" ref="I151:I157" si="182">+G151/F151</f>
        <v>0.1</v>
      </c>
      <c r="J151" s="136">
        <f t="shared" ref="J151:J158" si="183">+H151/F151</f>
        <v>0.4</v>
      </c>
      <c r="K151" s="136">
        <f t="shared" ref="K151:K157" si="184">+(G151/F151)*E151</f>
        <v>0.05</v>
      </c>
      <c r="L151" s="136">
        <f t="shared" ref="L151:L158" si="185">+(H151/F151)*E151</f>
        <v>0.2</v>
      </c>
      <c r="M151" s="550">
        <v>1</v>
      </c>
      <c r="N151" s="550">
        <v>0.03</v>
      </c>
      <c r="O151" s="550">
        <v>5</v>
      </c>
      <c r="P151" s="550">
        <v>3.97</v>
      </c>
      <c r="Q151" s="130"/>
      <c r="R151" s="130">
        <f t="shared" ref="R151:R158" si="186">+N151+O151+P151+Q151</f>
        <v>9</v>
      </c>
      <c r="S151" s="130">
        <f t="shared" ref="S151:S158" si="187">+R151+M151</f>
        <v>10</v>
      </c>
      <c r="T151" s="152">
        <f t="shared" ref="T151:T157" si="188">+(M151/G151)</f>
        <v>1</v>
      </c>
      <c r="U151" s="152">
        <v>1</v>
      </c>
      <c r="V151" s="152">
        <f t="shared" ref="V151:V157" si="189">+T151*E151</f>
        <v>0.5</v>
      </c>
      <c r="W151" s="152">
        <f t="shared" ref="W151:W158" si="190">+U151*E151</f>
        <v>0.5</v>
      </c>
      <c r="X151" s="152">
        <f t="shared" ref="X151:X157" si="191">+M151/F151</f>
        <v>0.1</v>
      </c>
      <c r="Y151" s="197">
        <f t="shared" ref="Y151:Y157" si="192">+S151/F151</f>
        <v>1</v>
      </c>
      <c r="Z151" s="197">
        <f>+X151*E151</f>
        <v>0.05</v>
      </c>
      <c r="AA151" s="197">
        <f t="shared" ref="AA151:AA158" si="193">+Y151*E151</f>
        <v>0.5</v>
      </c>
    </row>
    <row r="152" spans="1:27" ht="121.2" customHeight="1" thickBot="1" x14ac:dyDescent="0.4">
      <c r="A152" s="110"/>
      <c r="B152" s="133" t="s">
        <v>937</v>
      </c>
      <c r="C152" s="190" t="s">
        <v>1374</v>
      </c>
      <c r="D152" s="191" t="s">
        <v>936</v>
      </c>
      <c r="E152" s="195">
        <v>0.05</v>
      </c>
      <c r="F152" s="193">
        <v>20</v>
      </c>
      <c r="G152" s="130">
        <v>5</v>
      </c>
      <c r="H152" s="130">
        <v>5</v>
      </c>
      <c r="I152" s="136">
        <f t="shared" si="182"/>
        <v>0.25</v>
      </c>
      <c r="J152" s="136">
        <f t="shared" si="183"/>
        <v>0.25</v>
      </c>
      <c r="K152" s="136">
        <f t="shared" si="184"/>
        <v>1.2500000000000001E-2</v>
      </c>
      <c r="L152" s="136">
        <f t="shared" si="185"/>
        <v>1.2500000000000001E-2</v>
      </c>
      <c r="M152" s="550">
        <v>3.6</v>
      </c>
      <c r="N152" s="550">
        <v>0</v>
      </c>
      <c r="O152" s="550">
        <v>3</v>
      </c>
      <c r="P152" s="550">
        <v>1</v>
      </c>
      <c r="Q152" s="130"/>
      <c r="R152" s="130">
        <f t="shared" si="186"/>
        <v>4</v>
      </c>
      <c r="S152" s="130">
        <f t="shared" si="187"/>
        <v>7.6</v>
      </c>
      <c r="T152" s="152">
        <f t="shared" si="188"/>
        <v>0.72</v>
      </c>
      <c r="U152" s="152">
        <f t="shared" si="163"/>
        <v>0.8</v>
      </c>
      <c r="V152" s="152">
        <f t="shared" si="189"/>
        <v>3.5999999999999997E-2</v>
      </c>
      <c r="W152" s="152">
        <f t="shared" si="190"/>
        <v>4.0000000000000008E-2</v>
      </c>
      <c r="X152" s="152">
        <f t="shared" si="191"/>
        <v>0.18</v>
      </c>
      <c r="Y152" s="197">
        <f t="shared" si="192"/>
        <v>0.38</v>
      </c>
      <c r="Z152" s="197">
        <f t="shared" ref="Z152:Z157" si="194">+X152*E152</f>
        <v>8.9999999999999993E-3</v>
      </c>
      <c r="AA152" s="197">
        <f t="shared" si="193"/>
        <v>1.9000000000000003E-2</v>
      </c>
    </row>
    <row r="153" spans="1:27" ht="108" customHeight="1" thickBot="1" x14ac:dyDescent="0.4">
      <c r="A153" s="110"/>
      <c r="B153" s="133" t="s">
        <v>938</v>
      </c>
      <c r="C153" s="190" t="s">
        <v>1375</v>
      </c>
      <c r="D153" s="191" t="s">
        <v>790</v>
      </c>
      <c r="E153" s="195">
        <v>0.1</v>
      </c>
      <c r="F153" s="193">
        <v>2</v>
      </c>
      <c r="G153" s="130">
        <v>0.5</v>
      </c>
      <c r="H153" s="130">
        <v>0</v>
      </c>
      <c r="I153" s="136">
        <f t="shared" ref="I153" si="195">+G153/F153</f>
        <v>0.25</v>
      </c>
      <c r="J153" s="136"/>
      <c r="K153" s="136">
        <f t="shared" ref="K153" si="196">+(G153/F153)*E153</f>
        <v>2.5000000000000001E-2</v>
      </c>
      <c r="L153" s="136"/>
      <c r="M153" s="550">
        <v>0.5</v>
      </c>
      <c r="N153" s="550">
        <v>0</v>
      </c>
      <c r="O153" s="550">
        <v>0</v>
      </c>
      <c r="P153" s="550">
        <v>0</v>
      </c>
      <c r="Q153" s="130"/>
      <c r="R153" s="130">
        <f t="shared" si="186"/>
        <v>0</v>
      </c>
      <c r="S153" s="130">
        <f t="shared" si="187"/>
        <v>0.5</v>
      </c>
      <c r="T153" s="152">
        <f t="shared" ref="T153" si="197">+(M153/G153)</f>
        <v>1</v>
      </c>
      <c r="U153" s="152"/>
      <c r="V153" s="152">
        <f t="shared" ref="V153" si="198">+T153*E153</f>
        <v>0.1</v>
      </c>
      <c r="W153" s="152"/>
      <c r="X153" s="152">
        <f t="shared" ref="X153" si="199">+M153/F153</f>
        <v>0.25</v>
      </c>
      <c r="Y153" s="197">
        <f t="shared" si="192"/>
        <v>0.25</v>
      </c>
      <c r="Z153" s="197">
        <f t="shared" ref="Z153" si="200">+X153*E153</f>
        <v>2.5000000000000001E-2</v>
      </c>
      <c r="AA153" s="197">
        <f t="shared" si="193"/>
        <v>2.5000000000000001E-2</v>
      </c>
    </row>
    <row r="154" spans="1:27" ht="78" customHeight="1" thickBot="1" x14ac:dyDescent="0.4">
      <c r="A154" s="110"/>
      <c r="B154" s="140" t="s">
        <v>939</v>
      </c>
      <c r="C154" s="202" t="s">
        <v>1376</v>
      </c>
      <c r="D154" s="191" t="s">
        <v>1907</v>
      </c>
      <c r="E154" s="195">
        <v>0.05</v>
      </c>
      <c r="F154" s="193">
        <v>1</v>
      </c>
      <c r="G154" s="211">
        <v>0.12</v>
      </c>
      <c r="H154" s="211">
        <v>0.57999999999999996</v>
      </c>
      <c r="I154" s="136">
        <f t="shared" si="182"/>
        <v>0.12</v>
      </c>
      <c r="J154" s="136">
        <f t="shared" si="183"/>
        <v>0.57999999999999996</v>
      </c>
      <c r="K154" s="136">
        <f t="shared" si="184"/>
        <v>6.0000000000000001E-3</v>
      </c>
      <c r="L154" s="136">
        <f t="shared" si="185"/>
        <v>2.8999999999999998E-2</v>
      </c>
      <c r="M154" s="554">
        <v>0.12</v>
      </c>
      <c r="N154" s="554">
        <v>7.0000000000000007E-2</v>
      </c>
      <c r="O154" s="554">
        <v>0.15</v>
      </c>
      <c r="P154" s="554">
        <v>0.1</v>
      </c>
      <c r="Q154" s="218"/>
      <c r="R154" s="218">
        <f t="shared" si="186"/>
        <v>0.32</v>
      </c>
      <c r="S154" s="218">
        <f t="shared" si="187"/>
        <v>0.44</v>
      </c>
      <c r="T154" s="152">
        <f t="shared" si="188"/>
        <v>1</v>
      </c>
      <c r="U154" s="152">
        <f t="shared" si="163"/>
        <v>0.55172413793103459</v>
      </c>
      <c r="V154" s="152">
        <f t="shared" si="189"/>
        <v>0.05</v>
      </c>
      <c r="W154" s="152">
        <f t="shared" si="190"/>
        <v>2.7586206896551731E-2</v>
      </c>
      <c r="X154" s="152">
        <f t="shared" si="191"/>
        <v>0.12</v>
      </c>
      <c r="Y154" s="197">
        <f t="shared" si="192"/>
        <v>0.44</v>
      </c>
      <c r="Z154" s="197">
        <f t="shared" si="194"/>
        <v>6.0000000000000001E-3</v>
      </c>
      <c r="AA154" s="197">
        <f t="shared" si="193"/>
        <v>2.2000000000000002E-2</v>
      </c>
    </row>
    <row r="155" spans="1:27" ht="95.4" customHeight="1" thickBot="1" x14ac:dyDescent="0.4">
      <c r="A155" s="110"/>
      <c r="B155" s="133" t="s">
        <v>940</v>
      </c>
      <c r="C155" s="190" t="s">
        <v>1377</v>
      </c>
      <c r="D155" s="191" t="s">
        <v>1909</v>
      </c>
      <c r="E155" s="195">
        <v>0.1</v>
      </c>
      <c r="F155" s="193">
        <v>1</v>
      </c>
      <c r="G155" s="130">
        <v>0</v>
      </c>
      <c r="H155" s="130">
        <v>0</v>
      </c>
      <c r="I155" s="136"/>
      <c r="J155" s="136">
        <f t="shared" si="183"/>
        <v>0</v>
      </c>
      <c r="K155" s="136"/>
      <c r="L155" s="136">
        <f t="shared" si="185"/>
        <v>0</v>
      </c>
      <c r="M155" s="550"/>
      <c r="N155" s="550"/>
      <c r="O155" s="550"/>
      <c r="P155" s="130"/>
      <c r="Q155" s="130"/>
      <c r="R155" s="130">
        <f t="shared" si="186"/>
        <v>0</v>
      </c>
      <c r="S155" s="130">
        <f t="shared" si="187"/>
        <v>0</v>
      </c>
      <c r="T155" s="152"/>
      <c r="U155" s="152"/>
      <c r="V155" s="152"/>
      <c r="W155" s="152">
        <f t="shared" si="190"/>
        <v>0</v>
      </c>
      <c r="X155" s="152"/>
      <c r="Y155" s="197"/>
      <c r="Z155" s="197">
        <v>0</v>
      </c>
      <c r="AA155" s="197">
        <f t="shared" si="193"/>
        <v>0</v>
      </c>
    </row>
    <row r="156" spans="1:27" ht="80.400000000000006" customHeight="1" thickBot="1" x14ac:dyDescent="0.4">
      <c r="A156" s="110"/>
      <c r="B156" s="133" t="s">
        <v>941</v>
      </c>
      <c r="C156" s="190" t="s">
        <v>1378</v>
      </c>
      <c r="D156" s="191" t="s">
        <v>560</v>
      </c>
      <c r="E156" s="195">
        <v>0.1</v>
      </c>
      <c r="F156" s="193">
        <v>3</v>
      </c>
      <c r="G156" s="211">
        <v>0.1</v>
      </c>
      <c r="H156" s="211">
        <v>0.2</v>
      </c>
      <c r="I156" s="136">
        <f t="shared" si="182"/>
        <v>3.3333333333333333E-2</v>
      </c>
      <c r="J156" s="136">
        <f t="shared" si="183"/>
        <v>6.6666666666666666E-2</v>
      </c>
      <c r="K156" s="136">
        <f t="shared" si="184"/>
        <v>3.3333333333333335E-3</v>
      </c>
      <c r="L156" s="136">
        <f t="shared" si="185"/>
        <v>6.6666666666666671E-3</v>
      </c>
      <c r="M156" s="810">
        <v>0.06</v>
      </c>
      <c r="N156" s="554">
        <v>0.05</v>
      </c>
      <c r="O156" s="554">
        <v>0.01</v>
      </c>
      <c r="P156" s="554">
        <v>0.01</v>
      </c>
      <c r="Q156" s="218"/>
      <c r="R156" s="218">
        <f t="shared" si="186"/>
        <v>7.0000000000000007E-2</v>
      </c>
      <c r="S156" s="809">
        <f>+R156+M156+0.04</f>
        <v>0.17</v>
      </c>
      <c r="T156" s="136">
        <f t="shared" si="188"/>
        <v>0.6</v>
      </c>
      <c r="U156" s="152">
        <f>+R156/H156</f>
        <v>0.35000000000000003</v>
      </c>
      <c r="V156" s="136">
        <f t="shared" si="189"/>
        <v>0.06</v>
      </c>
      <c r="W156" s="136">
        <f t="shared" si="190"/>
        <v>3.5000000000000003E-2</v>
      </c>
      <c r="X156" s="152">
        <f t="shared" si="191"/>
        <v>0.02</v>
      </c>
      <c r="Y156" s="197">
        <f t="shared" si="192"/>
        <v>5.6666666666666671E-2</v>
      </c>
      <c r="Z156" s="197">
        <f>+X156*E156</f>
        <v>2E-3</v>
      </c>
      <c r="AA156" s="197">
        <f t="shared" si="193"/>
        <v>5.6666666666666671E-3</v>
      </c>
    </row>
    <row r="157" spans="1:27" ht="68.400000000000006" customHeight="1" thickBot="1" x14ac:dyDescent="0.4">
      <c r="A157" s="110"/>
      <c r="B157" s="800" t="s">
        <v>942</v>
      </c>
      <c r="C157" s="801" t="s">
        <v>1379</v>
      </c>
      <c r="D157" s="191" t="s">
        <v>560</v>
      </c>
      <c r="E157" s="195">
        <v>0.05</v>
      </c>
      <c r="F157" s="193">
        <v>1</v>
      </c>
      <c r="G157" s="211">
        <v>0.1</v>
      </c>
      <c r="H157" s="211">
        <v>0</v>
      </c>
      <c r="I157" s="136">
        <f t="shared" si="182"/>
        <v>0.1</v>
      </c>
      <c r="J157" s="136">
        <f t="shared" si="183"/>
        <v>0</v>
      </c>
      <c r="K157" s="136">
        <f t="shared" si="184"/>
        <v>5.000000000000001E-3</v>
      </c>
      <c r="L157" s="136">
        <f t="shared" si="185"/>
        <v>0</v>
      </c>
      <c r="M157" s="554">
        <v>0.05</v>
      </c>
      <c r="N157" s="554"/>
      <c r="O157" s="554"/>
      <c r="P157" s="554"/>
      <c r="Q157" s="218"/>
      <c r="R157" s="218">
        <f t="shared" si="186"/>
        <v>0</v>
      </c>
      <c r="S157" s="218">
        <f t="shared" si="187"/>
        <v>0.05</v>
      </c>
      <c r="T157" s="136">
        <f t="shared" si="188"/>
        <v>0.5</v>
      </c>
      <c r="U157" s="152"/>
      <c r="V157" s="136">
        <f t="shared" si="189"/>
        <v>2.5000000000000001E-2</v>
      </c>
      <c r="W157" s="136">
        <f t="shared" si="190"/>
        <v>0</v>
      </c>
      <c r="X157" s="152">
        <f t="shared" si="191"/>
        <v>0.05</v>
      </c>
      <c r="Y157" s="197">
        <f t="shared" si="192"/>
        <v>0.05</v>
      </c>
      <c r="Z157" s="197">
        <f t="shared" si="194"/>
        <v>2.5000000000000005E-3</v>
      </c>
      <c r="AA157" s="197">
        <f t="shared" si="193"/>
        <v>2.5000000000000005E-3</v>
      </c>
    </row>
    <row r="158" spans="1:27" ht="93.6" customHeight="1" thickBot="1" x14ac:dyDescent="0.4">
      <c r="A158" s="110"/>
      <c r="B158" s="133" t="s">
        <v>943</v>
      </c>
      <c r="C158" s="190" t="s">
        <v>1380</v>
      </c>
      <c r="D158" s="191" t="s">
        <v>560</v>
      </c>
      <c r="E158" s="195">
        <v>0.05</v>
      </c>
      <c r="F158" s="193">
        <v>5</v>
      </c>
      <c r="G158" s="130">
        <v>0</v>
      </c>
      <c r="H158" s="130">
        <v>0</v>
      </c>
      <c r="I158" s="136"/>
      <c r="J158" s="136">
        <f t="shared" si="183"/>
        <v>0</v>
      </c>
      <c r="K158" s="136"/>
      <c r="L158" s="136">
        <f t="shared" si="185"/>
        <v>0</v>
      </c>
      <c r="M158" s="550"/>
      <c r="N158" s="550"/>
      <c r="O158" s="550"/>
      <c r="P158" s="550"/>
      <c r="Q158" s="130"/>
      <c r="R158" s="130">
        <f t="shared" si="186"/>
        <v>0</v>
      </c>
      <c r="S158" s="130">
        <f t="shared" si="187"/>
        <v>0</v>
      </c>
      <c r="T158" s="136"/>
      <c r="U158" s="152"/>
      <c r="V158" s="136"/>
      <c r="W158" s="136">
        <f t="shared" si="190"/>
        <v>0</v>
      </c>
      <c r="X158" s="152"/>
      <c r="Y158" s="197"/>
      <c r="Z158" s="197">
        <v>0</v>
      </c>
      <c r="AA158" s="197">
        <f t="shared" si="193"/>
        <v>0</v>
      </c>
    </row>
    <row r="159" spans="1:27" ht="42.75" customHeight="1" thickBot="1" x14ac:dyDescent="0.4">
      <c r="A159" s="110"/>
      <c r="B159" s="970" t="s">
        <v>1679</v>
      </c>
      <c r="C159" s="981"/>
      <c r="D159" s="198"/>
      <c r="E159" s="199">
        <v>0.1</v>
      </c>
      <c r="F159" s="193"/>
      <c r="G159" s="123"/>
      <c r="H159" s="123"/>
      <c r="I159" s="129"/>
      <c r="J159" s="129">
        <f>+AVERAGE(J160:J166)</f>
        <v>0</v>
      </c>
      <c r="K159" s="129"/>
      <c r="L159" s="129">
        <f>+L160+L161+L162+L163+L164+L165+L166</f>
        <v>0</v>
      </c>
      <c r="M159" s="128"/>
      <c r="N159" s="128"/>
      <c r="O159" s="128"/>
      <c r="P159" s="128"/>
      <c r="Q159" s="128"/>
      <c r="R159" s="128"/>
      <c r="S159" s="128"/>
      <c r="T159" s="150"/>
      <c r="U159" s="150"/>
      <c r="V159" s="150"/>
      <c r="W159" s="150">
        <f>+(W160+W161+W162+W163+W164+W165+W166)*E159</f>
        <v>0</v>
      </c>
      <c r="X159" s="129"/>
      <c r="Y159" s="189"/>
      <c r="Z159" s="189"/>
      <c r="AA159" s="189">
        <f>+(AA160+AA161+AA162+AA163+AA164+AA165+AA166)</f>
        <v>0</v>
      </c>
    </row>
    <row r="160" spans="1:27" ht="87" customHeight="1" thickBot="1" x14ac:dyDescent="0.4">
      <c r="A160" s="110"/>
      <c r="B160" s="133" t="s">
        <v>944</v>
      </c>
      <c r="C160" s="190" t="s">
        <v>1381</v>
      </c>
      <c r="D160" s="191" t="s">
        <v>560</v>
      </c>
      <c r="E160" s="195">
        <v>0.06</v>
      </c>
      <c r="F160" s="193">
        <v>1</v>
      </c>
      <c r="G160" s="130">
        <v>0</v>
      </c>
      <c r="H160" s="130">
        <v>0</v>
      </c>
      <c r="I160" s="136"/>
      <c r="J160" s="136">
        <f t="shared" ref="J160:J166" si="201">+H160/F160</f>
        <v>0</v>
      </c>
      <c r="K160" s="136"/>
      <c r="L160" s="136">
        <f t="shared" ref="L160:L166" si="202">+(H160/F160)*E160</f>
        <v>0</v>
      </c>
      <c r="M160" s="130"/>
      <c r="N160" s="550"/>
      <c r="O160" s="550"/>
      <c r="P160" s="550"/>
      <c r="Q160" s="130"/>
      <c r="R160" s="130">
        <f t="shared" ref="R160:R166" si="203">+N160+O160+P160+Q160</f>
        <v>0</v>
      </c>
      <c r="S160" s="130">
        <f t="shared" ref="S160:S166" si="204">+R160+M160</f>
        <v>0</v>
      </c>
      <c r="T160" s="136"/>
      <c r="U160" s="152"/>
      <c r="V160" s="136"/>
      <c r="W160" s="136">
        <f t="shared" ref="W160:W166" si="205">+U160*E160</f>
        <v>0</v>
      </c>
      <c r="X160" s="152"/>
      <c r="Y160" s="197"/>
      <c r="Z160" s="197"/>
      <c r="AA160" s="197">
        <f>+Y160*E160</f>
        <v>0</v>
      </c>
    </row>
    <row r="161" spans="1:27" ht="66" customHeight="1" thickBot="1" x14ac:dyDescent="0.4">
      <c r="A161" s="110"/>
      <c r="B161" s="133" t="s">
        <v>945</v>
      </c>
      <c r="C161" s="190" t="s">
        <v>1382</v>
      </c>
      <c r="D161" s="191" t="s">
        <v>560</v>
      </c>
      <c r="E161" s="195">
        <v>0.06</v>
      </c>
      <c r="F161" s="193">
        <v>1</v>
      </c>
      <c r="G161" s="130">
        <v>0</v>
      </c>
      <c r="H161" s="130">
        <v>0</v>
      </c>
      <c r="I161" s="136"/>
      <c r="J161" s="136">
        <f t="shared" si="201"/>
        <v>0</v>
      </c>
      <c r="K161" s="136"/>
      <c r="L161" s="136">
        <f t="shared" si="202"/>
        <v>0</v>
      </c>
      <c r="M161" s="130"/>
      <c r="N161" s="550"/>
      <c r="O161" s="550"/>
      <c r="P161" s="550"/>
      <c r="Q161" s="130"/>
      <c r="R161" s="130">
        <f t="shared" si="203"/>
        <v>0</v>
      </c>
      <c r="S161" s="130">
        <f t="shared" si="204"/>
        <v>0</v>
      </c>
      <c r="T161" s="136"/>
      <c r="U161" s="152"/>
      <c r="V161" s="136"/>
      <c r="W161" s="136">
        <f t="shared" si="205"/>
        <v>0</v>
      </c>
      <c r="X161" s="152"/>
      <c r="Y161" s="197"/>
      <c r="Z161" s="197"/>
      <c r="AA161" s="197">
        <f t="shared" ref="AA161:AA166" si="206">+Y161*E161</f>
        <v>0</v>
      </c>
    </row>
    <row r="162" spans="1:27" ht="91.2" customHeight="1" thickBot="1" x14ac:dyDescent="0.4">
      <c r="A162" s="110"/>
      <c r="B162" s="133" t="s">
        <v>946</v>
      </c>
      <c r="C162" s="190" t="s">
        <v>1383</v>
      </c>
      <c r="D162" s="191" t="s">
        <v>560</v>
      </c>
      <c r="E162" s="195">
        <v>0.06</v>
      </c>
      <c r="F162" s="193">
        <v>1</v>
      </c>
      <c r="G162" s="130">
        <v>0</v>
      </c>
      <c r="H162" s="130">
        <v>0</v>
      </c>
      <c r="I162" s="136"/>
      <c r="J162" s="136">
        <f t="shared" si="201"/>
        <v>0</v>
      </c>
      <c r="K162" s="136"/>
      <c r="L162" s="136">
        <f t="shared" si="202"/>
        <v>0</v>
      </c>
      <c r="M162" s="130"/>
      <c r="N162" s="550"/>
      <c r="O162" s="550"/>
      <c r="P162" s="550"/>
      <c r="Q162" s="130"/>
      <c r="R162" s="130">
        <f t="shared" si="203"/>
        <v>0</v>
      </c>
      <c r="S162" s="130">
        <f t="shared" si="204"/>
        <v>0</v>
      </c>
      <c r="T162" s="136"/>
      <c r="U162" s="152"/>
      <c r="V162" s="136"/>
      <c r="W162" s="136">
        <f t="shared" si="205"/>
        <v>0</v>
      </c>
      <c r="X162" s="152"/>
      <c r="Y162" s="197"/>
      <c r="Z162" s="197"/>
      <c r="AA162" s="197">
        <f t="shared" si="206"/>
        <v>0</v>
      </c>
    </row>
    <row r="163" spans="1:27" ht="109.2" customHeight="1" thickBot="1" x14ac:dyDescent="0.4">
      <c r="A163" s="110"/>
      <c r="B163" s="133" t="s">
        <v>947</v>
      </c>
      <c r="C163" s="190" t="s">
        <v>1384</v>
      </c>
      <c r="D163" s="191" t="s">
        <v>1910</v>
      </c>
      <c r="E163" s="195">
        <v>0.3</v>
      </c>
      <c r="F163" s="193">
        <v>7</v>
      </c>
      <c r="G163" s="130">
        <v>0</v>
      </c>
      <c r="H163" s="130">
        <v>0</v>
      </c>
      <c r="I163" s="136"/>
      <c r="J163" s="136">
        <f t="shared" si="201"/>
        <v>0</v>
      </c>
      <c r="K163" s="136"/>
      <c r="L163" s="136">
        <f t="shared" si="202"/>
        <v>0</v>
      </c>
      <c r="M163" s="130"/>
      <c r="N163" s="550"/>
      <c r="O163" s="550"/>
      <c r="P163" s="550"/>
      <c r="Q163" s="130"/>
      <c r="R163" s="130">
        <f t="shared" si="203"/>
        <v>0</v>
      </c>
      <c r="S163" s="130">
        <f t="shared" si="204"/>
        <v>0</v>
      </c>
      <c r="T163" s="136"/>
      <c r="U163" s="152"/>
      <c r="V163" s="136"/>
      <c r="W163" s="136">
        <f t="shared" si="205"/>
        <v>0</v>
      </c>
      <c r="X163" s="152"/>
      <c r="Y163" s="197"/>
      <c r="Z163" s="197"/>
      <c r="AA163" s="197">
        <f t="shared" si="206"/>
        <v>0</v>
      </c>
    </row>
    <row r="164" spans="1:27" ht="72.599999999999994" customHeight="1" thickBot="1" x14ac:dyDescent="0.4">
      <c r="A164" s="110"/>
      <c r="B164" s="140" t="s">
        <v>948</v>
      </c>
      <c r="C164" s="202" t="s">
        <v>1385</v>
      </c>
      <c r="D164" s="191" t="s">
        <v>811</v>
      </c>
      <c r="E164" s="195">
        <v>0.02</v>
      </c>
      <c r="F164" s="193">
        <v>1</v>
      </c>
      <c r="G164" s="130">
        <v>0</v>
      </c>
      <c r="H164" s="130">
        <v>0</v>
      </c>
      <c r="I164" s="136"/>
      <c r="J164" s="136">
        <f t="shared" si="201"/>
        <v>0</v>
      </c>
      <c r="K164" s="136"/>
      <c r="L164" s="136">
        <f t="shared" si="202"/>
        <v>0</v>
      </c>
      <c r="M164" s="130"/>
      <c r="N164" s="550"/>
      <c r="O164" s="550"/>
      <c r="P164" s="550"/>
      <c r="Q164" s="130"/>
      <c r="R164" s="130">
        <f t="shared" si="203"/>
        <v>0</v>
      </c>
      <c r="S164" s="130">
        <f t="shared" si="204"/>
        <v>0</v>
      </c>
      <c r="T164" s="136"/>
      <c r="U164" s="152"/>
      <c r="V164" s="136"/>
      <c r="W164" s="136">
        <f t="shared" si="205"/>
        <v>0</v>
      </c>
      <c r="X164" s="152"/>
      <c r="Y164" s="197"/>
      <c r="Z164" s="197"/>
      <c r="AA164" s="197">
        <f t="shared" si="206"/>
        <v>0</v>
      </c>
    </row>
    <row r="165" spans="1:27" ht="100.95" customHeight="1" thickBot="1" x14ac:dyDescent="0.4">
      <c r="A165" s="110"/>
      <c r="B165" s="140" t="s">
        <v>949</v>
      </c>
      <c r="C165" s="202" t="s">
        <v>1386</v>
      </c>
      <c r="D165" s="191" t="s">
        <v>1857</v>
      </c>
      <c r="E165" s="195">
        <v>0.4</v>
      </c>
      <c r="F165" s="193">
        <v>2</v>
      </c>
      <c r="G165" s="130">
        <v>0</v>
      </c>
      <c r="H165" s="130">
        <v>0</v>
      </c>
      <c r="I165" s="136"/>
      <c r="J165" s="136">
        <f t="shared" si="201"/>
        <v>0</v>
      </c>
      <c r="K165" s="136"/>
      <c r="L165" s="136">
        <f t="shared" si="202"/>
        <v>0</v>
      </c>
      <c r="M165" s="130"/>
      <c r="N165" s="550"/>
      <c r="O165" s="550"/>
      <c r="P165" s="550"/>
      <c r="Q165" s="130"/>
      <c r="R165" s="130">
        <f t="shared" si="203"/>
        <v>0</v>
      </c>
      <c r="S165" s="130">
        <f t="shared" si="204"/>
        <v>0</v>
      </c>
      <c r="T165" s="136"/>
      <c r="U165" s="136"/>
      <c r="V165" s="136"/>
      <c r="W165" s="136">
        <f t="shared" si="205"/>
        <v>0</v>
      </c>
      <c r="X165" s="136"/>
      <c r="Y165" s="194"/>
      <c r="Z165" s="194"/>
      <c r="AA165" s="194">
        <f t="shared" si="206"/>
        <v>0</v>
      </c>
    </row>
    <row r="166" spans="1:27" ht="127.2" customHeight="1" thickBot="1" x14ac:dyDescent="0.4">
      <c r="A166" s="110"/>
      <c r="B166" s="140" t="s">
        <v>950</v>
      </c>
      <c r="C166" s="202" t="s">
        <v>1387</v>
      </c>
      <c r="D166" s="191" t="s">
        <v>1857</v>
      </c>
      <c r="E166" s="195">
        <v>0.1</v>
      </c>
      <c r="F166" s="193">
        <v>4</v>
      </c>
      <c r="G166" s="130">
        <v>0</v>
      </c>
      <c r="H166" s="130">
        <v>0</v>
      </c>
      <c r="I166" s="136"/>
      <c r="J166" s="136">
        <f t="shared" si="201"/>
        <v>0</v>
      </c>
      <c r="K166" s="136"/>
      <c r="L166" s="136">
        <f t="shared" si="202"/>
        <v>0</v>
      </c>
      <c r="M166" s="130"/>
      <c r="N166" s="550"/>
      <c r="O166" s="550"/>
      <c r="P166" s="550"/>
      <c r="Q166" s="130"/>
      <c r="R166" s="130">
        <f t="shared" si="203"/>
        <v>0</v>
      </c>
      <c r="S166" s="130">
        <f t="shared" si="204"/>
        <v>0</v>
      </c>
      <c r="T166" s="136"/>
      <c r="U166" s="136"/>
      <c r="V166" s="136"/>
      <c r="W166" s="136">
        <f t="shared" si="205"/>
        <v>0</v>
      </c>
      <c r="X166" s="136"/>
      <c r="Y166" s="194"/>
      <c r="Z166" s="194"/>
      <c r="AA166" s="194">
        <f t="shared" si="206"/>
        <v>0</v>
      </c>
    </row>
    <row r="167" spans="1:27" ht="78" customHeight="1" thickBot="1" x14ac:dyDescent="0.4">
      <c r="A167" s="110"/>
      <c r="B167" s="976" t="s">
        <v>1747</v>
      </c>
      <c r="C167" s="981"/>
      <c r="D167" s="198"/>
      <c r="E167" s="201">
        <v>0.05</v>
      </c>
      <c r="F167" s="118">
        <f>+E167*V167</f>
        <v>0</v>
      </c>
      <c r="G167" s="123"/>
      <c r="H167" s="119">
        <f>+E167*W167</f>
        <v>5.0000000000000012E-4</v>
      </c>
      <c r="I167" s="121"/>
      <c r="J167" s="121">
        <f>+(J168)/1</f>
        <v>0.16666666666666666</v>
      </c>
      <c r="K167" s="122"/>
      <c r="L167" s="122">
        <f>+(L168)/1</f>
        <v>0</v>
      </c>
      <c r="M167" s="123"/>
      <c r="N167" s="123"/>
      <c r="O167" s="123"/>
      <c r="P167" s="123"/>
      <c r="Q167" s="123"/>
      <c r="R167" s="123"/>
      <c r="S167" s="123"/>
      <c r="T167" s="121"/>
      <c r="U167" s="121">
        <f>+U168</f>
        <v>1</v>
      </c>
      <c r="V167" s="122"/>
      <c r="W167" s="122">
        <f>+(W168)*E167</f>
        <v>1.0000000000000002E-2</v>
      </c>
      <c r="X167" s="121"/>
      <c r="Y167" s="545">
        <f>+Y168</f>
        <v>0.16500000000000001</v>
      </c>
      <c r="Z167" s="187"/>
      <c r="AA167" s="187">
        <f>+AA168*E167</f>
        <v>5.000000000000001E-3</v>
      </c>
    </row>
    <row r="168" spans="1:27" ht="58.8" customHeight="1" thickBot="1" x14ac:dyDescent="0.4">
      <c r="A168" s="110"/>
      <c r="B168" s="970" t="s">
        <v>1680</v>
      </c>
      <c r="C168" s="981"/>
      <c r="D168" s="198"/>
      <c r="E168" s="199">
        <v>1</v>
      </c>
      <c r="F168" s="193"/>
      <c r="G168" s="123"/>
      <c r="H168" s="123"/>
      <c r="I168" s="129"/>
      <c r="J168" s="129">
        <f>+AVERAGE(J169:J171)</f>
        <v>0.16666666666666666</v>
      </c>
      <c r="K168" s="129"/>
      <c r="L168" s="129">
        <f>+L169+L170+L171</f>
        <v>0</v>
      </c>
      <c r="M168" s="128"/>
      <c r="N168" s="128"/>
      <c r="O168" s="128"/>
      <c r="P168" s="128"/>
      <c r="Q168" s="128"/>
      <c r="R168" s="128"/>
      <c r="S168" s="128"/>
      <c r="T168" s="131"/>
      <c r="U168" s="150">
        <f>+AVERAGE(U169:U171)</f>
        <v>1</v>
      </c>
      <c r="V168" s="150"/>
      <c r="W168" s="150">
        <f>+(W169+W170+W171)*E168</f>
        <v>0.2</v>
      </c>
      <c r="X168" s="129"/>
      <c r="Y168" s="189">
        <f>+Y169*0.33</f>
        <v>0.16500000000000001</v>
      </c>
      <c r="Z168" s="189"/>
      <c r="AA168" s="189">
        <f>+(AA169+AA170+AA171)</f>
        <v>0.1</v>
      </c>
    </row>
    <row r="169" spans="1:27" ht="79.8" customHeight="1" thickBot="1" x14ac:dyDescent="0.4">
      <c r="A169" s="110"/>
      <c r="B169" s="133" t="s">
        <v>951</v>
      </c>
      <c r="C169" s="190" t="s">
        <v>1388</v>
      </c>
      <c r="D169" s="191" t="s">
        <v>560</v>
      </c>
      <c r="E169" s="195">
        <v>0.2</v>
      </c>
      <c r="F169" s="193">
        <v>1</v>
      </c>
      <c r="G169" s="130">
        <v>0</v>
      </c>
      <c r="H169" s="130">
        <v>0.5</v>
      </c>
      <c r="I169" s="136"/>
      <c r="J169" s="136">
        <f t="shared" ref="J169:J170" si="207">+H169/F169</f>
        <v>0.5</v>
      </c>
      <c r="K169" s="136"/>
      <c r="L169" s="136"/>
      <c r="M169" s="136"/>
      <c r="N169" s="556"/>
      <c r="O169" s="550">
        <v>0.1</v>
      </c>
      <c r="P169" s="550">
        <v>0.4</v>
      </c>
      <c r="Q169" s="130"/>
      <c r="R169" s="164">
        <f t="shared" ref="R169:R171" si="208">+N169+O169+P169+Q169</f>
        <v>0.5</v>
      </c>
      <c r="S169" s="164">
        <f t="shared" ref="S169:S171" si="209">+R169+M169</f>
        <v>0.5</v>
      </c>
      <c r="T169" s="136"/>
      <c r="U169" s="152">
        <f t="shared" ref="U169" si="210">+R169/H169</f>
        <v>1</v>
      </c>
      <c r="V169" s="136"/>
      <c r="W169" s="136">
        <f t="shared" ref="W169:W170" si="211">+U169*E169</f>
        <v>0.2</v>
      </c>
      <c r="X169" s="152"/>
      <c r="Y169" s="152">
        <f>+S169/F169</f>
        <v>0.5</v>
      </c>
      <c r="Z169" s="197"/>
      <c r="AA169" s="197">
        <f t="shared" ref="AA169:AA170" si="212">+Y169*E169</f>
        <v>0.1</v>
      </c>
    </row>
    <row r="170" spans="1:27" ht="79.8" customHeight="1" thickBot="1" x14ac:dyDescent="0.4">
      <c r="A170" s="110"/>
      <c r="B170" s="133" t="s">
        <v>952</v>
      </c>
      <c r="C170" s="190" t="s">
        <v>1389</v>
      </c>
      <c r="D170" s="191" t="s">
        <v>1911</v>
      </c>
      <c r="E170" s="195">
        <v>0.2</v>
      </c>
      <c r="F170" s="193">
        <v>1</v>
      </c>
      <c r="G170" s="130">
        <v>0</v>
      </c>
      <c r="H170" s="130">
        <v>0</v>
      </c>
      <c r="I170" s="136"/>
      <c r="J170" s="136">
        <f t="shared" si="207"/>
        <v>0</v>
      </c>
      <c r="K170" s="136"/>
      <c r="L170" s="136"/>
      <c r="M170" s="136"/>
      <c r="N170" s="556"/>
      <c r="O170" s="556"/>
      <c r="P170" s="556"/>
      <c r="Q170" s="136"/>
      <c r="R170" s="136">
        <f t="shared" si="208"/>
        <v>0</v>
      </c>
      <c r="S170" s="136">
        <f t="shared" si="209"/>
        <v>0</v>
      </c>
      <c r="T170" s="136"/>
      <c r="U170" s="152"/>
      <c r="V170" s="136"/>
      <c r="W170" s="136">
        <f t="shared" si="211"/>
        <v>0</v>
      </c>
      <c r="X170" s="152"/>
      <c r="Y170" s="197"/>
      <c r="Z170" s="197"/>
      <c r="AA170" s="197">
        <f t="shared" si="212"/>
        <v>0</v>
      </c>
    </row>
    <row r="171" spans="1:27" ht="90" customHeight="1" thickBot="1" x14ac:dyDescent="0.4">
      <c r="A171" s="110"/>
      <c r="B171" s="800" t="s">
        <v>953</v>
      </c>
      <c r="C171" s="801" t="s">
        <v>1390</v>
      </c>
      <c r="D171" s="207" t="s">
        <v>1782</v>
      </c>
      <c r="E171" s="795">
        <v>0.6</v>
      </c>
      <c r="F171" s="193">
        <v>1</v>
      </c>
      <c r="G171" s="130">
        <v>0</v>
      </c>
      <c r="H171" s="130">
        <v>0</v>
      </c>
      <c r="I171" s="136"/>
      <c r="J171" s="136">
        <f>+H171/F171</f>
        <v>0</v>
      </c>
      <c r="K171" s="136"/>
      <c r="L171" s="136"/>
      <c r="M171" s="130"/>
      <c r="N171" s="550"/>
      <c r="O171" s="130"/>
      <c r="P171" s="130"/>
      <c r="Q171" s="130"/>
      <c r="R171" s="130">
        <f t="shared" si="208"/>
        <v>0</v>
      </c>
      <c r="S171" s="130">
        <f t="shared" si="209"/>
        <v>0</v>
      </c>
      <c r="T171" s="136"/>
      <c r="U171" s="136"/>
      <c r="V171" s="136"/>
      <c r="W171" s="136"/>
      <c r="X171" s="136"/>
      <c r="Y171" s="136"/>
      <c r="Z171" s="136"/>
      <c r="AA171" s="136">
        <f>+Y171*E171</f>
        <v>0</v>
      </c>
    </row>
    <row r="172" spans="1:27" ht="15.75" customHeight="1" thickBot="1" x14ac:dyDescent="0.4">
      <c r="A172" s="106"/>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223"/>
      <c r="Z172" s="223"/>
      <c r="AA172" s="223"/>
    </row>
    <row r="173" spans="1:27" ht="15.75" customHeight="1" thickBot="1" x14ac:dyDescent="0.4">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10"/>
      <c r="Z173" s="110"/>
      <c r="AA173" s="110"/>
    </row>
    <row r="174" spans="1:27" ht="15.75" customHeight="1" thickBot="1" x14ac:dyDescent="0.4">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10"/>
      <c r="Z174" s="110"/>
      <c r="AA174" s="110"/>
    </row>
    <row r="175" spans="1:27" ht="15.75" customHeight="1" thickBot="1" x14ac:dyDescent="0.4">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10"/>
      <c r="Z175" s="110"/>
      <c r="AA175" s="110"/>
    </row>
    <row r="176" spans="1:27" ht="21" customHeight="1" thickBot="1" x14ac:dyDescent="0.4">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10"/>
      <c r="Z176" s="110"/>
      <c r="AA176" s="110"/>
    </row>
    <row r="177" spans="1:27" ht="15.75" customHeight="1" thickBot="1" x14ac:dyDescent="0.4">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10"/>
      <c r="Z177" s="110"/>
      <c r="AA177" s="110"/>
    </row>
    <row r="178" spans="1:27" ht="15.75" customHeight="1" thickBot="1" x14ac:dyDescent="0.4">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10"/>
      <c r="Z178" s="110"/>
      <c r="AA178" s="110"/>
    </row>
    <row r="179" spans="1:27" ht="15.75" customHeight="1" thickBot="1" x14ac:dyDescent="0.4">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10"/>
      <c r="Z179" s="110"/>
      <c r="AA179" s="110"/>
    </row>
    <row r="180" spans="1:27" ht="15.75" customHeight="1" thickBot="1" x14ac:dyDescent="0.4">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10"/>
      <c r="Z180" s="110"/>
      <c r="AA180" s="110"/>
    </row>
    <row r="181" spans="1:27" ht="15.75" customHeight="1" thickBot="1" x14ac:dyDescent="0.4">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10"/>
      <c r="Z181" s="110"/>
      <c r="AA181" s="110"/>
    </row>
    <row r="182" spans="1:27" ht="15.75" customHeight="1" thickBot="1" x14ac:dyDescent="0.4">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10"/>
      <c r="Z182" s="110"/>
      <c r="AA182" s="110"/>
    </row>
    <row r="183" spans="1:27" ht="15.75" customHeight="1" thickBot="1" x14ac:dyDescent="0.4">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10"/>
      <c r="Z183" s="110"/>
      <c r="AA183" s="110"/>
    </row>
    <row r="184" spans="1:27" ht="15.75" customHeight="1" thickBot="1" x14ac:dyDescent="0.4">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10"/>
      <c r="Z184" s="110"/>
      <c r="AA184" s="110"/>
    </row>
    <row r="185" spans="1:27" ht="15.75" customHeight="1" thickBot="1" x14ac:dyDescent="0.4">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10"/>
      <c r="Z185" s="110"/>
      <c r="AA185" s="110"/>
    </row>
    <row r="186" spans="1:27" ht="15.75" customHeight="1" thickBot="1" x14ac:dyDescent="0.4">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10"/>
      <c r="Z186" s="110"/>
      <c r="AA186" s="110"/>
    </row>
    <row r="187" spans="1:27" ht="15.75" customHeight="1" thickBot="1" x14ac:dyDescent="0.4">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10"/>
      <c r="Z187" s="110"/>
      <c r="AA187" s="110"/>
    </row>
    <row r="188" spans="1:27" ht="15.75" customHeight="1" thickBot="1" x14ac:dyDescent="0.4">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10"/>
      <c r="Z188" s="110"/>
      <c r="AA188" s="110"/>
    </row>
    <row r="189" spans="1:27" ht="15.75" customHeight="1" thickBot="1" x14ac:dyDescent="0.4">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10"/>
      <c r="Z189" s="110"/>
      <c r="AA189" s="110"/>
    </row>
    <row r="190" spans="1:27" ht="15.75" customHeight="1" thickBot="1" x14ac:dyDescent="0.4">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10"/>
      <c r="Z190" s="110"/>
      <c r="AA190" s="110"/>
    </row>
    <row r="191" spans="1:27" ht="15.75" customHeight="1" thickBot="1" x14ac:dyDescent="0.4">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10"/>
      <c r="Z191" s="110"/>
      <c r="AA191" s="110"/>
    </row>
    <row r="192" spans="1:27" ht="15.75" customHeight="1" thickBot="1" x14ac:dyDescent="0.4">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10"/>
      <c r="Z192" s="110"/>
      <c r="AA192" s="110"/>
    </row>
    <row r="193" spans="1:27" ht="15.75" customHeight="1" thickBot="1" x14ac:dyDescent="0.4">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10"/>
      <c r="Z193" s="110"/>
      <c r="AA193" s="110"/>
    </row>
    <row r="194" spans="1:27" ht="15.75" customHeight="1" thickBot="1" x14ac:dyDescent="0.4">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10"/>
      <c r="Z194" s="110"/>
      <c r="AA194" s="110"/>
    </row>
    <row r="195" spans="1:27" ht="15.75" customHeight="1" thickBot="1" x14ac:dyDescent="0.4">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10"/>
      <c r="Z195" s="110"/>
      <c r="AA195" s="110"/>
    </row>
    <row r="196" spans="1:27" ht="15.75" customHeight="1" thickBot="1" x14ac:dyDescent="0.4">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10"/>
      <c r="Z196" s="110"/>
      <c r="AA196" s="110"/>
    </row>
    <row r="197" spans="1:27" ht="15.75" customHeight="1" thickBot="1" x14ac:dyDescent="0.4">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10"/>
      <c r="Z197" s="110"/>
      <c r="AA197" s="110"/>
    </row>
    <row r="198" spans="1:27" ht="15.75" customHeight="1" thickBot="1" x14ac:dyDescent="0.4">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10"/>
      <c r="Z198" s="110"/>
      <c r="AA198" s="110"/>
    </row>
    <row r="199" spans="1:27" ht="15.75" customHeight="1" thickBot="1" x14ac:dyDescent="0.4">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10"/>
      <c r="Z199" s="110"/>
      <c r="AA199" s="110"/>
    </row>
    <row r="200" spans="1:27" ht="15.75" customHeight="1" thickBot="1" x14ac:dyDescent="0.4">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10"/>
      <c r="Z200" s="110"/>
      <c r="AA200" s="110"/>
    </row>
    <row r="201" spans="1:27" ht="15.75" customHeight="1" thickBot="1" x14ac:dyDescent="0.4">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10"/>
      <c r="Z201" s="110"/>
      <c r="AA201" s="110"/>
    </row>
    <row r="202" spans="1:27" ht="15.75" customHeight="1" thickBot="1" x14ac:dyDescent="0.4">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10"/>
      <c r="Z202" s="110"/>
      <c r="AA202" s="110"/>
    </row>
    <row r="203" spans="1:27" ht="15.75" customHeight="1" thickBot="1" x14ac:dyDescent="0.4">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10"/>
      <c r="Z203" s="110"/>
      <c r="AA203" s="110"/>
    </row>
    <row r="204" spans="1:27" ht="15.75" customHeight="1" thickBot="1" x14ac:dyDescent="0.4">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10"/>
      <c r="Z204" s="110"/>
      <c r="AA204" s="110"/>
    </row>
    <row r="205" spans="1:27" ht="15.75" customHeight="1" thickBot="1" x14ac:dyDescent="0.4">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10"/>
      <c r="Z205" s="110"/>
      <c r="AA205" s="110"/>
    </row>
    <row r="206" spans="1:27" ht="15.75" customHeight="1" thickBot="1" x14ac:dyDescent="0.4">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10"/>
      <c r="Z206" s="110"/>
      <c r="AA206" s="110"/>
    </row>
    <row r="207" spans="1:27" ht="15.75" customHeight="1" thickBot="1" x14ac:dyDescent="0.4">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10"/>
      <c r="Z207" s="110"/>
      <c r="AA207" s="110"/>
    </row>
    <row r="208" spans="1:27" ht="15.75" customHeight="1" thickBot="1" x14ac:dyDescent="0.4">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10"/>
      <c r="Z208" s="110"/>
      <c r="AA208" s="110"/>
    </row>
    <row r="209" spans="1:27" ht="15.75" customHeight="1" thickBot="1" x14ac:dyDescent="0.4">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10"/>
      <c r="Z209" s="110"/>
      <c r="AA209" s="110"/>
    </row>
    <row r="210" spans="1:27" ht="15.75" customHeight="1" thickBot="1" x14ac:dyDescent="0.4">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10"/>
      <c r="Z210" s="110"/>
      <c r="AA210" s="110"/>
    </row>
    <row r="211" spans="1:27" ht="15.75" customHeight="1" thickBot="1" x14ac:dyDescent="0.4">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10"/>
      <c r="Z211" s="110"/>
      <c r="AA211" s="110"/>
    </row>
    <row r="212" spans="1:27" ht="15.75" customHeight="1" thickBot="1" x14ac:dyDescent="0.4">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10"/>
      <c r="Z212" s="110"/>
      <c r="AA212" s="110"/>
    </row>
    <row r="213" spans="1:27" ht="15.75" customHeight="1" thickBot="1" x14ac:dyDescent="0.4">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10"/>
      <c r="Z213" s="110"/>
      <c r="AA213" s="110"/>
    </row>
    <row r="214" spans="1:27" ht="15.75" customHeight="1" thickBot="1" x14ac:dyDescent="0.4">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10"/>
      <c r="Z214" s="110"/>
      <c r="AA214" s="110"/>
    </row>
    <row r="215" spans="1:27" ht="15.75" customHeight="1" thickBot="1" x14ac:dyDescent="0.4">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10"/>
      <c r="Z215" s="110"/>
      <c r="AA215" s="110"/>
    </row>
    <row r="216" spans="1:27" ht="15.75" customHeight="1" thickBot="1" x14ac:dyDescent="0.4">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10"/>
      <c r="Z216" s="110"/>
      <c r="AA216" s="110"/>
    </row>
    <row r="217" spans="1:27" ht="15.75" customHeight="1" thickBot="1" x14ac:dyDescent="0.4">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10"/>
      <c r="Z217" s="110"/>
      <c r="AA217" s="619"/>
    </row>
    <row r="218" spans="1:27" ht="15.75" customHeight="1" thickBot="1" x14ac:dyDescent="0.4">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10"/>
      <c r="Z218" s="110"/>
      <c r="AA218" s="619"/>
    </row>
    <row r="219" spans="1:27" ht="15.75" customHeight="1" thickBot="1" x14ac:dyDescent="0.4">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10"/>
      <c r="Z219" s="110"/>
      <c r="AA219" s="619"/>
    </row>
    <row r="220" spans="1:27" ht="15.75" customHeight="1" thickBot="1" x14ac:dyDescent="0.4">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10"/>
      <c r="Z220" s="110"/>
      <c r="AA220" s="619"/>
    </row>
    <row r="221" spans="1:27" ht="15.75" customHeight="1" thickBot="1" x14ac:dyDescent="0.4">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10"/>
      <c r="Z221" s="110"/>
      <c r="AA221" s="619"/>
    </row>
    <row r="222" spans="1:27" ht="15.75" customHeight="1" thickBot="1" x14ac:dyDescent="0.4">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10"/>
      <c r="Z222" s="110"/>
      <c r="AA222" s="619"/>
    </row>
    <row r="223" spans="1:27" ht="15.75" customHeight="1" thickBot="1" x14ac:dyDescent="0.4">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10"/>
      <c r="Z223" s="110"/>
      <c r="AA223" s="619"/>
    </row>
    <row r="224" spans="1:27" ht="15.75" customHeight="1" thickBot="1" x14ac:dyDescent="0.4">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10"/>
      <c r="Z224" s="110"/>
      <c r="AA224" s="619"/>
    </row>
    <row r="225" spans="1:27" ht="15.75" customHeight="1" thickBot="1" x14ac:dyDescent="0.4">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10"/>
      <c r="Z225" s="110"/>
      <c r="AA225" s="619"/>
    </row>
    <row r="226" spans="1:27" ht="15.75" customHeight="1" thickBot="1" x14ac:dyDescent="0.4">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10"/>
      <c r="Z226" s="110"/>
      <c r="AA226" s="619"/>
    </row>
    <row r="227" spans="1:27" ht="15.75" customHeight="1" thickBot="1" x14ac:dyDescent="0.4">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10"/>
      <c r="Z227" s="110"/>
      <c r="AA227" s="619"/>
    </row>
    <row r="228" spans="1:27" ht="15.75" customHeight="1" thickBot="1" x14ac:dyDescent="0.4">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10"/>
      <c r="Z228" s="110"/>
      <c r="AA228" s="619"/>
    </row>
    <row r="229" spans="1:27" ht="15.75" customHeight="1" thickBot="1" x14ac:dyDescent="0.4">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10"/>
      <c r="Z229" s="110"/>
      <c r="AA229" s="619"/>
    </row>
    <row r="230" spans="1:27" ht="15.75" customHeight="1" thickBot="1" x14ac:dyDescent="0.4">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10"/>
      <c r="Z230" s="110"/>
      <c r="AA230" s="619"/>
    </row>
    <row r="231" spans="1:27" ht="15.75" customHeight="1" thickBot="1" x14ac:dyDescent="0.4">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10"/>
      <c r="Z231" s="110"/>
      <c r="AA231" s="619"/>
    </row>
    <row r="232" spans="1:27" ht="15.75" customHeight="1" thickBot="1" x14ac:dyDescent="0.4">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10"/>
      <c r="Z232" s="110"/>
      <c r="AA232" s="619"/>
    </row>
    <row r="233" spans="1:27" ht="15.75" customHeight="1" thickBot="1" x14ac:dyDescent="0.4">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10"/>
      <c r="Z233" s="110"/>
      <c r="AA233" s="619"/>
    </row>
    <row r="234" spans="1:27" ht="15.75" customHeight="1" thickBot="1" x14ac:dyDescent="0.4">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10"/>
      <c r="Z234" s="110"/>
      <c r="AA234" s="619"/>
    </row>
    <row r="235" spans="1:27" ht="15.75" customHeight="1" thickBot="1" x14ac:dyDescent="0.4">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10"/>
      <c r="Z235" s="110"/>
      <c r="AA235" s="619"/>
    </row>
    <row r="236" spans="1:27" ht="15.75" customHeight="1" thickBot="1" x14ac:dyDescent="0.4">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10"/>
      <c r="Z236" s="110"/>
      <c r="AA236" s="619"/>
    </row>
    <row r="237" spans="1:27" ht="15.75" customHeight="1" thickBot="1" x14ac:dyDescent="0.4">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10"/>
      <c r="Z237" s="110"/>
      <c r="AA237" s="619"/>
    </row>
    <row r="238" spans="1:27" ht="15.75" customHeight="1" thickBot="1" x14ac:dyDescent="0.4">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10"/>
      <c r="Z238" s="110"/>
      <c r="AA238" s="619"/>
    </row>
    <row r="239" spans="1:27" ht="15.75" customHeight="1" thickBot="1" x14ac:dyDescent="0.4">
      <c r="A239" s="10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10"/>
      <c r="Z239" s="110"/>
      <c r="AA239" s="619"/>
    </row>
    <row r="240" spans="1:27" ht="15.75" customHeight="1" thickBot="1" x14ac:dyDescent="0.4">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10"/>
      <c r="Z240" s="110"/>
      <c r="AA240" s="619"/>
    </row>
    <row r="241" spans="1:27" ht="15.75" customHeight="1" thickBot="1" x14ac:dyDescent="0.4">
      <c r="A241" s="10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10"/>
      <c r="Z241" s="110"/>
      <c r="AA241" s="619"/>
    </row>
    <row r="242" spans="1:27" ht="15.75" customHeight="1" thickBot="1" x14ac:dyDescent="0.4">
      <c r="A242" s="10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10"/>
      <c r="Z242" s="110"/>
      <c r="AA242" s="619"/>
    </row>
    <row r="243" spans="1:27" ht="15.75" customHeight="1" thickBot="1" x14ac:dyDescent="0.4">
      <c r="A243" s="10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10"/>
      <c r="Z243" s="110"/>
      <c r="AA243" s="619"/>
    </row>
    <row r="244" spans="1:27" ht="15.75" customHeight="1" thickBot="1" x14ac:dyDescent="0.4">
      <c r="A244" s="10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10"/>
      <c r="Z244" s="110"/>
      <c r="AA244" s="619"/>
    </row>
    <row r="245" spans="1:27" ht="15.75" customHeight="1" thickBot="1" x14ac:dyDescent="0.4">
      <c r="A245" s="10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10"/>
      <c r="Z245" s="110"/>
      <c r="AA245" s="619"/>
    </row>
    <row r="246" spans="1:27" ht="15.75" customHeight="1" thickBot="1" x14ac:dyDescent="0.4">
      <c r="A246" s="10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10"/>
      <c r="Z246" s="110"/>
      <c r="AA246" s="619"/>
    </row>
    <row r="247" spans="1:27" ht="15.75" customHeight="1" thickBot="1" x14ac:dyDescent="0.4">
      <c r="A247" s="10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10"/>
      <c r="Z247" s="110"/>
      <c r="AA247" s="619"/>
    </row>
    <row r="248" spans="1:27" ht="15.75" customHeight="1" thickBot="1" x14ac:dyDescent="0.4">
      <c r="A248" s="10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10"/>
      <c r="Z248" s="110"/>
      <c r="AA248" s="619"/>
    </row>
    <row r="249" spans="1:27" ht="15.75" customHeight="1" thickBot="1" x14ac:dyDescent="0.4">
      <c r="A249" s="10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10"/>
      <c r="Z249" s="110"/>
      <c r="AA249" s="619"/>
    </row>
    <row r="250" spans="1:27" ht="15.75" customHeight="1" thickBot="1" x14ac:dyDescent="0.4">
      <c r="A250" s="10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10"/>
      <c r="Z250" s="110"/>
      <c r="AA250" s="619"/>
    </row>
    <row r="251" spans="1:27" ht="15.75" customHeight="1" thickBot="1" x14ac:dyDescent="0.4">
      <c r="A251" s="10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10"/>
      <c r="Z251" s="110"/>
      <c r="AA251" s="619"/>
    </row>
    <row r="252" spans="1:27" ht="15.75" customHeight="1" thickBot="1" x14ac:dyDescent="0.4">
      <c r="A252" s="10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10"/>
      <c r="Z252" s="110"/>
      <c r="AA252" s="619"/>
    </row>
    <row r="253" spans="1:27" ht="15.75" customHeight="1" thickBot="1" x14ac:dyDescent="0.4">
      <c r="A253" s="10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10"/>
      <c r="Z253" s="110"/>
      <c r="AA253" s="619"/>
    </row>
    <row r="254" spans="1:27" ht="15.75" customHeight="1" thickBot="1" x14ac:dyDescent="0.4">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10"/>
      <c r="Z254" s="110"/>
      <c r="AA254" s="619"/>
    </row>
    <row r="255" spans="1:27" ht="15.75" customHeight="1" thickBot="1" x14ac:dyDescent="0.4">
      <c r="A255" s="10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10"/>
      <c r="Z255" s="110"/>
      <c r="AA255" s="619"/>
    </row>
    <row r="256" spans="1:27" ht="15.75" customHeight="1" thickBot="1" x14ac:dyDescent="0.4">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10"/>
      <c r="Z256" s="110"/>
      <c r="AA256" s="619"/>
    </row>
    <row r="257" spans="1:27" ht="15.75" customHeight="1" thickBot="1" x14ac:dyDescent="0.4">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10"/>
      <c r="Z257" s="110"/>
      <c r="AA257" s="619"/>
    </row>
    <row r="258" spans="1:27" ht="15.75" customHeight="1" thickBot="1" x14ac:dyDescent="0.4">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10"/>
      <c r="Z258" s="110"/>
      <c r="AA258" s="619"/>
    </row>
    <row r="259" spans="1:27" ht="15.75" customHeight="1" thickBot="1" x14ac:dyDescent="0.4">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10"/>
      <c r="Z259" s="110"/>
      <c r="AA259" s="619"/>
    </row>
    <row r="260" spans="1:27" ht="15.75" customHeight="1" thickBot="1" x14ac:dyDescent="0.4">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10"/>
      <c r="Z260" s="110"/>
      <c r="AA260" s="619"/>
    </row>
    <row r="261" spans="1:27" ht="15.75" customHeight="1" thickBot="1" x14ac:dyDescent="0.4">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10"/>
      <c r="Z261" s="110"/>
      <c r="AA261" s="619"/>
    </row>
    <row r="262" spans="1:27" ht="15.75" customHeight="1" thickBot="1" x14ac:dyDescent="0.4">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10"/>
      <c r="Z262" s="110"/>
      <c r="AA262" s="619"/>
    </row>
    <row r="263" spans="1:27" ht="15.75" customHeight="1" thickBot="1" x14ac:dyDescent="0.4">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10"/>
      <c r="Z263" s="110"/>
      <c r="AA263" s="619"/>
    </row>
    <row r="264" spans="1:27" ht="15.75" customHeight="1" thickBot="1" x14ac:dyDescent="0.4">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10"/>
      <c r="Z264" s="110"/>
      <c r="AA264" s="619"/>
    </row>
    <row r="265" spans="1:27" ht="15.75" customHeight="1" thickBot="1" x14ac:dyDescent="0.4">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10"/>
      <c r="Z265" s="110"/>
      <c r="AA265" s="619"/>
    </row>
    <row r="266" spans="1:27" ht="15.75" customHeight="1" thickBot="1" x14ac:dyDescent="0.4">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10"/>
      <c r="Z266" s="110"/>
      <c r="AA266" s="619"/>
    </row>
    <row r="267" spans="1:27" ht="15.75" customHeight="1" thickBot="1" x14ac:dyDescent="0.4">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10"/>
      <c r="Z267" s="110"/>
      <c r="AA267" s="619"/>
    </row>
    <row r="268" spans="1:27" ht="15.75" customHeight="1" thickBot="1" x14ac:dyDescent="0.4">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10"/>
      <c r="Z268" s="110"/>
      <c r="AA268" s="619"/>
    </row>
    <row r="269" spans="1:27" ht="15.75" customHeight="1" thickBot="1" x14ac:dyDescent="0.4">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10"/>
      <c r="Z269" s="110"/>
      <c r="AA269" s="619"/>
    </row>
    <row r="270" spans="1:27" ht="15.75" customHeight="1" thickBot="1" x14ac:dyDescent="0.4">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10"/>
      <c r="Z270" s="110"/>
      <c r="AA270" s="619"/>
    </row>
    <row r="271" spans="1:27" ht="15.75" customHeight="1" thickBot="1" x14ac:dyDescent="0.4">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10"/>
      <c r="Z271" s="110"/>
      <c r="AA271" s="619"/>
    </row>
    <row r="272" spans="1:27" ht="15.75" customHeight="1" thickBot="1" x14ac:dyDescent="0.4">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10"/>
      <c r="Z272" s="110"/>
      <c r="AA272" s="619"/>
    </row>
    <row r="273" spans="1:27" ht="15.75" customHeight="1" thickBot="1" x14ac:dyDescent="0.4">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10"/>
      <c r="Z273" s="110"/>
      <c r="AA273" s="619"/>
    </row>
    <row r="274" spans="1:27" ht="15.75" customHeight="1" thickBot="1" x14ac:dyDescent="0.4">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10"/>
      <c r="Z274" s="110"/>
      <c r="AA274" s="619"/>
    </row>
    <row r="275" spans="1:27" ht="15.75" customHeight="1" thickBot="1" x14ac:dyDescent="0.4">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10"/>
      <c r="Z275" s="110"/>
      <c r="AA275" s="619"/>
    </row>
    <row r="276" spans="1:27" ht="15.75" customHeight="1" thickBot="1" x14ac:dyDescent="0.4">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10"/>
      <c r="Z276" s="110"/>
      <c r="AA276" s="619"/>
    </row>
    <row r="277" spans="1:27" ht="15.75" customHeight="1" thickBot="1" x14ac:dyDescent="0.4">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10"/>
      <c r="Z277" s="110"/>
      <c r="AA277" s="619"/>
    </row>
    <row r="278" spans="1:27" ht="15.75" customHeight="1" thickBot="1" x14ac:dyDescent="0.4">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10"/>
      <c r="Z278" s="110"/>
      <c r="AA278" s="619"/>
    </row>
    <row r="279" spans="1:27" ht="15.75" customHeight="1" thickBot="1" x14ac:dyDescent="0.4">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10"/>
      <c r="Z279" s="110"/>
      <c r="AA279" s="619"/>
    </row>
    <row r="280" spans="1:27" ht="15.75" customHeight="1" thickBot="1" x14ac:dyDescent="0.4">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10"/>
      <c r="Z280" s="110"/>
      <c r="AA280" s="619"/>
    </row>
    <row r="281" spans="1:27" ht="15.75" customHeight="1" thickBot="1" x14ac:dyDescent="0.4">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10"/>
      <c r="Z281" s="110"/>
      <c r="AA281" s="619"/>
    </row>
    <row r="282" spans="1:27" ht="15.75" customHeight="1" thickBot="1" x14ac:dyDescent="0.4">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10"/>
      <c r="Z282" s="110"/>
      <c r="AA282" s="619"/>
    </row>
    <row r="283" spans="1:27" ht="15.75" customHeight="1" thickBot="1" x14ac:dyDescent="0.4">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10"/>
      <c r="Z283" s="110"/>
      <c r="AA283" s="619"/>
    </row>
    <row r="284" spans="1:27" ht="15.75" customHeight="1" thickBot="1" x14ac:dyDescent="0.4">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10"/>
      <c r="Z284" s="110"/>
      <c r="AA284" s="619"/>
    </row>
    <row r="285" spans="1:27" ht="15.75" customHeight="1" thickBot="1" x14ac:dyDescent="0.4">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10"/>
      <c r="Z285" s="110"/>
      <c r="AA285" s="619"/>
    </row>
    <row r="286" spans="1:27" ht="15.75" customHeight="1" thickBot="1" x14ac:dyDescent="0.4">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10"/>
      <c r="Z286" s="110"/>
      <c r="AA286" s="619"/>
    </row>
    <row r="287" spans="1:27" ht="15.75" customHeight="1" thickBot="1" x14ac:dyDescent="0.4">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10"/>
      <c r="Z287" s="110"/>
      <c r="AA287" s="619"/>
    </row>
    <row r="288" spans="1:27" ht="15.75" customHeight="1" thickBot="1" x14ac:dyDescent="0.4">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10"/>
      <c r="Z288" s="110"/>
      <c r="AA288" s="619"/>
    </row>
    <row r="289" spans="1:27" ht="15.75" customHeight="1" thickBot="1" x14ac:dyDescent="0.4">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10"/>
      <c r="Z289" s="110"/>
      <c r="AA289" s="619"/>
    </row>
    <row r="290" spans="1:27" ht="15.75" customHeight="1" thickBot="1" x14ac:dyDescent="0.4">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10"/>
      <c r="Z290" s="110"/>
      <c r="AA290" s="619"/>
    </row>
    <row r="291" spans="1:27" ht="15.75" customHeight="1" thickBot="1" x14ac:dyDescent="0.4">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10"/>
      <c r="Z291" s="110"/>
      <c r="AA291" s="619"/>
    </row>
    <row r="292" spans="1:27" ht="15.75" customHeight="1" thickBot="1" x14ac:dyDescent="0.4">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10"/>
      <c r="Z292" s="110"/>
      <c r="AA292" s="619"/>
    </row>
    <row r="293" spans="1:27" ht="15.75" customHeight="1" thickBot="1" x14ac:dyDescent="0.4">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10"/>
      <c r="Z293" s="110"/>
      <c r="AA293" s="619"/>
    </row>
    <row r="294" spans="1:27" ht="15.75" customHeight="1" thickBot="1" x14ac:dyDescent="0.4">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10"/>
      <c r="Z294" s="110"/>
      <c r="AA294" s="619"/>
    </row>
    <row r="295" spans="1:27" ht="15.75" customHeight="1" thickBot="1" x14ac:dyDescent="0.4">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10"/>
      <c r="Z295" s="110"/>
      <c r="AA295" s="619"/>
    </row>
    <row r="296" spans="1:27" ht="15.75" customHeight="1" thickBot="1" x14ac:dyDescent="0.4">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10"/>
      <c r="Z296" s="110"/>
      <c r="AA296" s="619"/>
    </row>
    <row r="297" spans="1:27" ht="15.75" customHeight="1" thickBot="1" x14ac:dyDescent="0.4">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10"/>
      <c r="Z297" s="110"/>
      <c r="AA297" s="619"/>
    </row>
    <row r="298" spans="1:27" ht="15.75" customHeight="1" thickBot="1" x14ac:dyDescent="0.4">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10"/>
      <c r="Z298" s="110"/>
      <c r="AA298" s="619"/>
    </row>
    <row r="299" spans="1:27" ht="15.75" customHeight="1" thickBot="1" x14ac:dyDescent="0.4">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10"/>
      <c r="Z299" s="110"/>
      <c r="AA299" s="619"/>
    </row>
    <row r="300" spans="1:27" ht="15.75" customHeight="1" thickBot="1" x14ac:dyDescent="0.4">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10"/>
      <c r="Z300" s="110"/>
      <c r="AA300" s="619"/>
    </row>
    <row r="301" spans="1:27" ht="15.75" customHeight="1" thickBot="1" x14ac:dyDescent="0.4">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10"/>
      <c r="Z301" s="110"/>
      <c r="AA301" s="619"/>
    </row>
    <row r="302" spans="1:27" ht="15.75" customHeight="1" thickBot="1" x14ac:dyDescent="0.4">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10"/>
      <c r="Z302" s="110"/>
      <c r="AA302" s="619"/>
    </row>
    <row r="303" spans="1:27" ht="15.75" customHeight="1" thickBot="1" x14ac:dyDescent="0.4">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10"/>
      <c r="Z303" s="110"/>
      <c r="AA303" s="619"/>
    </row>
    <row r="304" spans="1:27" ht="15.75" customHeight="1" thickBot="1" x14ac:dyDescent="0.4">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10"/>
      <c r="Z304" s="110"/>
      <c r="AA304" s="619"/>
    </row>
    <row r="305" spans="1:27" ht="15.75" customHeight="1" thickBot="1" x14ac:dyDescent="0.4">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10"/>
      <c r="Z305" s="110"/>
      <c r="AA305" s="619"/>
    </row>
    <row r="306" spans="1:27" ht="15.75" customHeight="1" thickBot="1" x14ac:dyDescent="0.4">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10"/>
      <c r="Z306" s="110"/>
      <c r="AA306" s="619"/>
    </row>
    <row r="307" spans="1:27" ht="15.75" customHeight="1" thickBot="1" x14ac:dyDescent="0.4">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10"/>
      <c r="Z307" s="110"/>
      <c r="AA307" s="619"/>
    </row>
    <row r="308" spans="1:27" ht="15.75" customHeight="1" thickBot="1" x14ac:dyDescent="0.4">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10"/>
      <c r="Z308" s="110"/>
      <c r="AA308" s="619"/>
    </row>
    <row r="309" spans="1:27" ht="15.75" customHeight="1" thickBot="1" x14ac:dyDescent="0.4">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10"/>
      <c r="Z309" s="110"/>
      <c r="AA309" s="619"/>
    </row>
    <row r="310" spans="1:27" ht="15.75" customHeight="1" thickBot="1" x14ac:dyDescent="0.4">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10"/>
      <c r="Z310" s="110"/>
      <c r="AA310" s="619"/>
    </row>
    <row r="311" spans="1:27" ht="15.75" customHeight="1" thickBot="1" x14ac:dyDescent="0.4">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10"/>
      <c r="Z311" s="110"/>
      <c r="AA311" s="619"/>
    </row>
    <row r="312" spans="1:27" ht="15.75" customHeight="1" thickBot="1" x14ac:dyDescent="0.4">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10"/>
      <c r="Z312" s="110"/>
      <c r="AA312" s="619"/>
    </row>
    <row r="313" spans="1:27" ht="15.75" customHeight="1" thickBot="1" x14ac:dyDescent="0.4">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10"/>
      <c r="Z313" s="110"/>
      <c r="AA313" s="619"/>
    </row>
    <row r="314" spans="1:27" ht="15.75" customHeight="1" thickBot="1" x14ac:dyDescent="0.4">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10"/>
      <c r="Z314" s="110"/>
      <c r="AA314" s="619"/>
    </row>
    <row r="315" spans="1:27" ht="15.75" customHeight="1" thickBot="1" x14ac:dyDescent="0.4">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10"/>
      <c r="Z315" s="110"/>
      <c r="AA315" s="619"/>
    </row>
    <row r="316" spans="1:27" ht="15.75" customHeight="1" thickBot="1" x14ac:dyDescent="0.4">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10"/>
      <c r="Z316" s="110"/>
      <c r="AA316" s="619"/>
    </row>
    <row r="317" spans="1:27" ht="15.75" customHeight="1" thickBot="1" x14ac:dyDescent="0.4">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10"/>
      <c r="Z317" s="110"/>
      <c r="AA317" s="619"/>
    </row>
    <row r="318" spans="1:27" ht="15.75" customHeight="1" thickBot="1" x14ac:dyDescent="0.4">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10"/>
      <c r="Z318" s="110"/>
      <c r="AA318" s="619"/>
    </row>
    <row r="319" spans="1:27" ht="15.75" customHeight="1" thickBot="1" x14ac:dyDescent="0.4">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10"/>
      <c r="Z319" s="110"/>
      <c r="AA319" s="619"/>
    </row>
    <row r="320" spans="1:27" ht="15.75" customHeight="1" thickBot="1" x14ac:dyDescent="0.4">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10"/>
      <c r="Z320" s="110"/>
      <c r="AA320" s="619"/>
    </row>
    <row r="321" spans="1:27" ht="15.75" customHeight="1" thickBot="1" x14ac:dyDescent="0.4">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10"/>
      <c r="Z321" s="110"/>
      <c r="AA321" s="619"/>
    </row>
    <row r="322" spans="1:27" ht="15.75" customHeight="1" thickBot="1" x14ac:dyDescent="0.4">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10"/>
      <c r="Z322" s="110"/>
      <c r="AA322" s="619"/>
    </row>
    <row r="323" spans="1:27" ht="15.75" customHeight="1" thickBot="1" x14ac:dyDescent="0.4">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10"/>
      <c r="Z323" s="110"/>
      <c r="AA323" s="619"/>
    </row>
    <row r="324" spans="1:27" ht="15.75" customHeight="1" thickBot="1" x14ac:dyDescent="0.4">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10"/>
      <c r="Z324" s="110"/>
      <c r="AA324" s="619"/>
    </row>
    <row r="325" spans="1:27" ht="15.75" customHeight="1" thickBot="1" x14ac:dyDescent="0.4">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10"/>
      <c r="Z325" s="110"/>
      <c r="AA325" s="619"/>
    </row>
    <row r="326" spans="1:27" ht="15.75" customHeight="1" thickBot="1" x14ac:dyDescent="0.4">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10"/>
      <c r="Z326" s="110"/>
      <c r="AA326" s="619"/>
    </row>
    <row r="327" spans="1:27" ht="15.75" customHeight="1" thickBot="1" x14ac:dyDescent="0.4">
      <c r="A327" s="10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10"/>
      <c r="Z327" s="110"/>
      <c r="AA327" s="619"/>
    </row>
    <row r="328" spans="1:27" ht="15.75" customHeight="1" thickBot="1" x14ac:dyDescent="0.4">
      <c r="A328" s="10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10"/>
      <c r="Z328" s="110"/>
      <c r="AA328" s="619"/>
    </row>
    <row r="329" spans="1:27" ht="15.75" customHeight="1" thickBot="1" x14ac:dyDescent="0.4">
      <c r="A329" s="10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10"/>
      <c r="Z329" s="110"/>
      <c r="AA329" s="619"/>
    </row>
    <row r="330" spans="1:27" ht="15.75" customHeight="1" thickBot="1" x14ac:dyDescent="0.4">
      <c r="A330" s="10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10"/>
      <c r="Z330" s="110"/>
      <c r="AA330" s="619"/>
    </row>
    <row r="331" spans="1:27" ht="15.75" customHeight="1" thickBot="1" x14ac:dyDescent="0.4">
      <c r="A331" s="10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10"/>
      <c r="Z331" s="110"/>
      <c r="AA331" s="619"/>
    </row>
    <row r="332" spans="1:27" ht="15.75" customHeight="1" thickBot="1" x14ac:dyDescent="0.4">
      <c r="A332" s="10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10"/>
      <c r="Z332" s="110"/>
      <c r="AA332" s="619"/>
    </row>
    <row r="333" spans="1:27" ht="15.75" customHeight="1" thickBot="1" x14ac:dyDescent="0.4">
      <c r="A333" s="10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10"/>
      <c r="Z333" s="110"/>
      <c r="AA333" s="619"/>
    </row>
    <row r="334" spans="1:27" ht="15.75" customHeight="1" thickBot="1" x14ac:dyDescent="0.4">
      <c r="A334" s="10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10"/>
      <c r="Z334" s="110"/>
      <c r="AA334" s="619"/>
    </row>
    <row r="335" spans="1:27" ht="15.75" customHeight="1" thickBot="1" x14ac:dyDescent="0.4">
      <c r="A335" s="10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10"/>
      <c r="Z335" s="110"/>
      <c r="AA335" s="619"/>
    </row>
    <row r="336" spans="1:27" ht="15.75" customHeight="1" thickBot="1" x14ac:dyDescent="0.4">
      <c r="A336" s="10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10"/>
      <c r="Z336" s="110"/>
      <c r="AA336" s="619"/>
    </row>
    <row r="337" spans="1:27" ht="15.75" customHeight="1" thickBot="1" x14ac:dyDescent="0.4">
      <c r="A337" s="10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10"/>
      <c r="Z337" s="110"/>
      <c r="AA337" s="619"/>
    </row>
    <row r="338" spans="1:27" ht="15.75" customHeight="1" thickBot="1" x14ac:dyDescent="0.4">
      <c r="A338" s="10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10"/>
      <c r="Z338" s="110"/>
      <c r="AA338" s="619"/>
    </row>
    <row r="339" spans="1:27" ht="15.75" customHeight="1" thickBot="1" x14ac:dyDescent="0.4">
      <c r="A339" s="10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10"/>
      <c r="Z339" s="110"/>
      <c r="AA339" s="619"/>
    </row>
    <row r="340" spans="1:27" ht="15.75" customHeight="1" thickBot="1" x14ac:dyDescent="0.4">
      <c r="A340" s="10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10"/>
      <c r="Z340" s="110"/>
      <c r="AA340" s="619"/>
    </row>
    <row r="341" spans="1:27" ht="15.75" customHeight="1" thickBot="1" x14ac:dyDescent="0.4">
      <c r="A341" s="10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10"/>
      <c r="Z341" s="110"/>
      <c r="AA341" s="619"/>
    </row>
    <row r="342" spans="1:27" ht="15.75" customHeight="1" thickBot="1" x14ac:dyDescent="0.4">
      <c r="A342" s="106"/>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10"/>
      <c r="Z342" s="110"/>
      <c r="AA342" s="619"/>
    </row>
    <row r="343" spans="1:27" ht="15.75" customHeight="1" thickBot="1" x14ac:dyDescent="0.4">
      <c r="A343" s="106"/>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10"/>
      <c r="Z343" s="110"/>
      <c r="AA343" s="619"/>
    </row>
    <row r="344" spans="1:27" ht="15.75" customHeight="1" thickBot="1" x14ac:dyDescent="0.4">
      <c r="A344" s="106"/>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10"/>
      <c r="Z344" s="110"/>
      <c r="AA344" s="619"/>
    </row>
    <row r="345" spans="1:27" ht="15.75" customHeight="1" thickBot="1" x14ac:dyDescent="0.4">
      <c r="A345" s="106"/>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10"/>
      <c r="Z345" s="110"/>
      <c r="AA345" s="619"/>
    </row>
    <row r="346" spans="1:27" ht="15.75" customHeight="1" thickBot="1" x14ac:dyDescent="0.4">
      <c r="A346" s="106"/>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10"/>
      <c r="Z346" s="110"/>
      <c r="AA346" s="619"/>
    </row>
    <row r="347" spans="1:27" ht="15.75" customHeight="1" thickBot="1" x14ac:dyDescent="0.4">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10"/>
      <c r="Z347" s="110"/>
      <c r="AA347" s="619"/>
    </row>
    <row r="348" spans="1:27" ht="15.75" customHeight="1" thickBot="1" x14ac:dyDescent="0.4">
      <c r="A348" s="10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10"/>
      <c r="Z348" s="110"/>
      <c r="AA348" s="619"/>
    </row>
    <row r="349" spans="1:27" ht="15.75" customHeight="1" thickBot="1" x14ac:dyDescent="0.4">
      <c r="A349" s="10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10"/>
      <c r="Z349" s="110"/>
      <c r="AA349" s="619"/>
    </row>
    <row r="350" spans="1:27" ht="15.75" customHeight="1" thickBot="1" x14ac:dyDescent="0.4">
      <c r="A350" s="106"/>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10"/>
      <c r="Z350" s="110"/>
      <c r="AA350" s="619"/>
    </row>
    <row r="351" spans="1:27" ht="15.75" customHeight="1" thickBot="1" x14ac:dyDescent="0.4">
      <c r="A351" s="106"/>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10"/>
      <c r="Z351" s="110"/>
      <c r="AA351" s="619"/>
    </row>
    <row r="352" spans="1:27" ht="15.75" customHeight="1" thickBot="1" x14ac:dyDescent="0.4">
      <c r="A352" s="106"/>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10"/>
      <c r="Z352" s="110"/>
      <c r="AA352" s="619"/>
    </row>
    <row r="353" spans="1:27" ht="15.75" customHeight="1" thickBot="1" x14ac:dyDescent="0.4">
      <c r="A353" s="106"/>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10"/>
      <c r="Z353" s="110"/>
      <c r="AA353" s="619"/>
    </row>
    <row r="354" spans="1:27" ht="15.75" customHeight="1" thickBot="1" x14ac:dyDescent="0.4">
      <c r="A354" s="106"/>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10"/>
      <c r="Z354" s="110"/>
      <c r="AA354" s="619"/>
    </row>
    <row r="355" spans="1:27" ht="15.75" customHeight="1" thickBot="1" x14ac:dyDescent="0.4">
      <c r="A355" s="106"/>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10"/>
      <c r="Z355" s="110"/>
      <c r="AA355" s="619"/>
    </row>
    <row r="356" spans="1:27" ht="15.75" customHeight="1" thickBot="1" x14ac:dyDescent="0.4">
      <c r="A356" s="106"/>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10"/>
      <c r="Z356" s="110"/>
      <c r="AA356" s="619"/>
    </row>
    <row r="357" spans="1:27" ht="15.75" customHeight="1" thickBot="1" x14ac:dyDescent="0.4">
      <c r="A357" s="106"/>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10"/>
      <c r="Z357" s="110"/>
      <c r="AA357" s="619"/>
    </row>
    <row r="358" spans="1:27" ht="15.75" customHeight="1" thickBot="1" x14ac:dyDescent="0.4">
      <c r="A358" s="106"/>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10"/>
      <c r="Z358" s="110"/>
      <c r="AA358" s="619"/>
    </row>
    <row r="359" spans="1:27" ht="15.75" customHeight="1" thickBot="1" x14ac:dyDescent="0.4">
      <c r="A359" s="106"/>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10"/>
      <c r="Z359" s="110"/>
      <c r="AA359" s="619"/>
    </row>
    <row r="360" spans="1:27" ht="15.75" customHeight="1" thickBot="1" x14ac:dyDescent="0.4">
      <c r="A360" s="10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10"/>
      <c r="Z360" s="110"/>
      <c r="AA360" s="619"/>
    </row>
    <row r="361" spans="1:27" ht="15.75" customHeight="1" thickBot="1" x14ac:dyDescent="0.4">
      <c r="A361" s="10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10"/>
      <c r="Z361" s="110"/>
      <c r="AA361" s="619"/>
    </row>
    <row r="362" spans="1:27" ht="15.75" customHeight="1" thickBot="1" x14ac:dyDescent="0.4">
      <c r="A362" s="10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10"/>
      <c r="Z362" s="110"/>
      <c r="AA362" s="619"/>
    </row>
    <row r="363" spans="1:27" ht="15.75" customHeight="1" thickBot="1" x14ac:dyDescent="0.4">
      <c r="A363" s="10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10"/>
      <c r="Z363" s="110"/>
      <c r="AA363" s="619"/>
    </row>
    <row r="364" spans="1:27" ht="15.75" customHeight="1" thickBot="1" x14ac:dyDescent="0.4">
      <c r="A364" s="10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10"/>
      <c r="Z364" s="110"/>
      <c r="AA364" s="619"/>
    </row>
    <row r="365" spans="1:27" ht="15.75" customHeight="1" thickBot="1" x14ac:dyDescent="0.4">
      <c r="A365" s="10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10"/>
      <c r="Z365" s="110"/>
      <c r="AA365" s="619"/>
    </row>
    <row r="366" spans="1:27" ht="15.75" customHeight="1" thickBot="1" x14ac:dyDescent="0.4">
      <c r="A366" s="10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10"/>
      <c r="Z366" s="110"/>
      <c r="AA366" s="619"/>
    </row>
    <row r="367" spans="1:27" ht="15.75" customHeight="1" thickBot="1" x14ac:dyDescent="0.4">
      <c r="A367" s="10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10"/>
      <c r="Z367" s="110"/>
      <c r="AA367" s="619"/>
    </row>
    <row r="368" spans="1:27" ht="15.75" customHeight="1" thickBot="1" x14ac:dyDescent="0.4">
      <c r="A368" s="10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10"/>
      <c r="Z368" s="110"/>
      <c r="AA368" s="619"/>
    </row>
    <row r="369" spans="1:27" ht="15.75" customHeight="1" thickBot="1" x14ac:dyDescent="0.4">
      <c r="A369" s="10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10"/>
      <c r="Z369" s="110"/>
      <c r="AA369" s="619"/>
    </row>
    <row r="370" spans="1:27" ht="15.75" customHeight="1" thickBot="1" x14ac:dyDescent="0.4">
      <c r="A370" s="10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10"/>
      <c r="Z370" s="110"/>
      <c r="AA370" s="619"/>
    </row>
    <row r="371" spans="1:27" ht="15.75" customHeight="1" thickBot="1" x14ac:dyDescent="0.4">
      <c r="A371" s="10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10"/>
      <c r="Z371" s="110"/>
      <c r="AA371" s="619"/>
    </row>
    <row r="372" spans="1:27" ht="15.75" customHeight="1" x14ac:dyDescent="0.35"/>
    <row r="373" spans="1:27" ht="15.75" customHeight="1" x14ac:dyDescent="0.35"/>
    <row r="374" spans="1:27" ht="15.75" customHeight="1" x14ac:dyDescent="0.35"/>
    <row r="375" spans="1:27" ht="15.75" customHeight="1" x14ac:dyDescent="0.35"/>
    <row r="376" spans="1:27" ht="15.75" customHeight="1" x14ac:dyDescent="0.35"/>
    <row r="377" spans="1:27" ht="15.75" customHeight="1" x14ac:dyDescent="0.35"/>
    <row r="378" spans="1:27" ht="15.75" customHeight="1" x14ac:dyDescent="0.35"/>
    <row r="379" spans="1:27" ht="15.75" customHeight="1" x14ac:dyDescent="0.35"/>
    <row r="380" spans="1:27" ht="15.75" customHeight="1" x14ac:dyDescent="0.35"/>
    <row r="381" spans="1:27" ht="15.75" customHeight="1" x14ac:dyDescent="0.35"/>
    <row r="382" spans="1:27" ht="15.75" customHeight="1" x14ac:dyDescent="0.35"/>
    <row r="383" spans="1:27" ht="15.75" customHeight="1" x14ac:dyDescent="0.35"/>
    <row r="384" spans="1:27"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password="DEFC" sheet="1" objects="1" scenarios="1"/>
  <autoFilter ref="B2:AA171">
    <filterColumn colId="0" showButton="0"/>
  </autoFilter>
  <mergeCells count="39">
    <mergeCell ref="B167:C167"/>
    <mergeCell ref="B168:C168"/>
    <mergeCell ref="B135:C135"/>
    <mergeCell ref="B136:C136"/>
    <mergeCell ref="B140:C140"/>
    <mergeCell ref="B144:C144"/>
    <mergeCell ref="B150:C150"/>
    <mergeCell ref="B159:C159"/>
    <mergeCell ref="B121:C121"/>
    <mergeCell ref="B77:C77"/>
    <mergeCell ref="B79:C79"/>
    <mergeCell ref="B82:C82"/>
    <mergeCell ref="B83:C83"/>
    <mergeCell ref="B91:C91"/>
    <mergeCell ref="B95:C95"/>
    <mergeCell ref="B97:C97"/>
    <mergeCell ref="B98:C98"/>
    <mergeCell ref="B100:C100"/>
    <mergeCell ref="B105:C105"/>
    <mergeCell ref="B109:C109"/>
    <mergeCell ref="B73:C73"/>
    <mergeCell ref="B33:C33"/>
    <mergeCell ref="B37:C37"/>
    <mergeCell ref="B38:C38"/>
    <mergeCell ref="B46:C46"/>
    <mergeCell ref="B50:C50"/>
    <mergeCell ref="B53:C53"/>
    <mergeCell ref="B57:C57"/>
    <mergeCell ref="B60:C60"/>
    <mergeCell ref="B61:C61"/>
    <mergeCell ref="B64:C64"/>
    <mergeCell ref="B69:C69"/>
    <mergeCell ref="B27:C27"/>
    <mergeCell ref="B2:C2"/>
    <mergeCell ref="B3:C3"/>
    <mergeCell ref="B4:C4"/>
    <mergeCell ref="B5:C5"/>
    <mergeCell ref="B22:C22"/>
    <mergeCell ref="B26:C26"/>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1"/>
  <sheetViews>
    <sheetView zoomScale="31" zoomScaleNormal="31" workbookViewId="0">
      <pane xSplit="3" ySplit="4" topLeftCell="D5" activePane="bottomRight" state="frozen"/>
      <selection pane="topRight" activeCell="D1" sqref="D1"/>
      <selection pane="bottomLeft" activeCell="A5" sqref="A5"/>
      <selection pane="bottomRight" activeCell="U3" sqref="U3"/>
    </sheetView>
  </sheetViews>
  <sheetFormatPr baseColWidth="10" defaultColWidth="14.44140625" defaultRowHeight="67.2" customHeight="1" x14ac:dyDescent="0.35"/>
  <cols>
    <col min="1" max="1" width="3.6640625" style="109" customWidth="1"/>
    <col min="2" max="2" width="58" style="109" customWidth="1"/>
    <col min="3" max="3" width="56.33203125" style="109" customWidth="1"/>
    <col min="4" max="4" width="38.6640625" style="109" customWidth="1"/>
    <col min="5" max="5" width="34.88671875" style="109" customWidth="1"/>
    <col min="6" max="6" width="42.109375" style="109" customWidth="1"/>
    <col min="7" max="7" width="34.5546875" style="109" customWidth="1"/>
    <col min="8" max="8" width="34.88671875" style="109" customWidth="1"/>
    <col min="9" max="9" width="35.109375" style="109" customWidth="1"/>
    <col min="10" max="10" width="35.33203125" style="109" customWidth="1"/>
    <col min="11" max="11" width="40.33203125" style="109" hidden="1" customWidth="1"/>
    <col min="12" max="12" width="33.6640625" style="109" hidden="1" customWidth="1"/>
    <col min="13" max="14" width="32.6640625" style="109" customWidth="1"/>
    <col min="15" max="15" width="31.88671875" style="109" customWidth="1"/>
    <col min="16" max="16" width="41.88671875" style="109" customWidth="1"/>
    <col min="17" max="17" width="39.6640625" style="109" customWidth="1"/>
    <col min="18" max="18" width="30.5546875" style="109" customWidth="1"/>
    <col min="19" max="19" width="34.88671875" style="109" customWidth="1"/>
    <col min="20" max="20" width="46.5546875" style="109" customWidth="1"/>
    <col min="21" max="21" width="44.109375" style="109" customWidth="1"/>
    <col min="22" max="22" width="42.6640625" style="109" customWidth="1"/>
    <col min="23" max="23" width="43.21875" style="109" customWidth="1"/>
    <col min="24" max="24" width="51.33203125" style="109" customWidth="1"/>
    <col min="25" max="25" width="44.5546875" style="109" customWidth="1"/>
    <col min="26" max="26" width="47.77734375" style="109" customWidth="1"/>
    <col min="27" max="27" width="45.44140625" style="109" customWidth="1"/>
    <col min="28" max="28" width="48.77734375" style="109" customWidth="1"/>
    <col min="29" max="29" width="34.109375" style="109" customWidth="1"/>
    <col min="30" max="34" width="10.6640625" style="109" customWidth="1"/>
    <col min="35" max="16384" width="14.44140625" style="109"/>
  </cols>
  <sheetData>
    <row r="1" spans="1:29" ht="33.6" customHeight="1" thickBot="1" x14ac:dyDescent="0.4">
      <c r="A1" s="106"/>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6"/>
      <c r="AC1" s="106"/>
    </row>
    <row r="2" spans="1:29" ht="148.94999999999999" customHeight="1" thickBot="1" x14ac:dyDescent="0.9">
      <c r="A2" s="110"/>
      <c r="B2" s="986" t="s">
        <v>0</v>
      </c>
      <c r="C2" s="987"/>
      <c r="D2" s="231" t="s">
        <v>1</v>
      </c>
      <c r="E2" s="232" t="s">
        <v>2</v>
      </c>
      <c r="F2" s="232" t="s">
        <v>3</v>
      </c>
      <c r="G2" s="557" t="s">
        <v>4</v>
      </c>
      <c r="H2" s="113" t="s">
        <v>1783</v>
      </c>
      <c r="I2" s="559" t="s">
        <v>5</v>
      </c>
      <c r="J2" s="114" t="s">
        <v>1784</v>
      </c>
      <c r="K2" s="560" t="s">
        <v>6</v>
      </c>
      <c r="L2" s="537" t="s">
        <v>1785</v>
      </c>
      <c r="M2" s="558" t="s">
        <v>1772</v>
      </c>
      <c r="N2" s="403" t="s">
        <v>1786</v>
      </c>
      <c r="O2" s="403" t="s">
        <v>1789</v>
      </c>
      <c r="P2" s="403" t="s">
        <v>1788</v>
      </c>
      <c r="Q2" s="403" t="s">
        <v>1787</v>
      </c>
      <c r="R2" s="403" t="s">
        <v>1790</v>
      </c>
      <c r="S2" s="403" t="s">
        <v>1791</v>
      </c>
      <c r="T2" s="478" t="s">
        <v>7</v>
      </c>
      <c r="U2" s="890" t="s">
        <v>1879</v>
      </c>
      <c r="V2" s="402" t="s">
        <v>8</v>
      </c>
      <c r="W2" s="402" t="s">
        <v>1880</v>
      </c>
      <c r="X2" s="401" t="s">
        <v>1793</v>
      </c>
      <c r="Y2" s="401" t="s">
        <v>1881</v>
      </c>
      <c r="Z2" s="607" t="s">
        <v>1774</v>
      </c>
      <c r="AA2" s="891" t="s">
        <v>1882</v>
      </c>
      <c r="AB2" s="256"/>
      <c r="AC2" s="256"/>
    </row>
    <row r="3" spans="1:29" s="103" customFormat="1" ht="129" customHeight="1" thickBot="1" x14ac:dyDescent="0.9">
      <c r="A3" s="102"/>
      <c r="B3" s="988" t="s">
        <v>1748</v>
      </c>
      <c r="C3" s="989"/>
      <c r="D3" s="250"/>
      <c r="E3" s="251">
        <v>0.08</v>
      </c>
      <c r="F3" s="252"/>
      <c r="G3" s="253"/>
      <c r="H3" s="253"/>
      <c r="I3" s="254">
        <f>+(I4+I17+I48+I57+I77+I109)/6</f>
        <v>0.23222048675539217</v>
      </c>
      <c r="J3" s="561">
        <f>+(J4+J17+J48+J57+J77+J109)/6</f>
        <v>0.28347006193654073</v>
      </c>
      <c r="K3" s="562">
        <f>+(K4+K17+K48+K57+K77+K109)/6</f>
        <v>0.21726216822485131</v>
      </c>
      <c r="L3" s="562">
        <f>+(L4+L17+L48+L57+L77+L109)/6</f>
        <v>0.25997625192376106</v>
      </c>
      <c r="M3" s="255"/>
      <c r="N3" s="255"/>
      <c r="O3" s="255"/>
      <c r="P3" s="255"/>
      <c r="Q3" s="255"/>
      <c r="R3" s="255"/>
      <c r="S3" s="255"/>
      <c r="T3" s="561">
        <f>+(T4+T17+T48+T57+T77+T109)/6</f>
        <v>0.91685226242112661</v>
      </c>
      <c r="U3" s="561">
        <f>+(U4+U17+U48+U57+U77+U109)/6</f>
        <v>0.6498863938917967</v>
      </c>
      <c r="V3" s="562">
        <f>F4+F17+F48+F57+F77+F109</f>
        <v>0.75143767106226866</v>
      </c>
      <c r="W3" s="562">
        <f>H4+H17+H48+H57+H77+H109</f>
        <v>0.63897567947800749</v>
      </c>
      <c r="X3" s="561">
        <f>+(X4+X17+X48+X57+X77+X109)/6</f>
        <v>0.21689546793257833</v>
      </c>
      <c r="Y3" s="561">
        <f>+(Y4+Y17+Y48+Y57+Y77+Y109)/6</f>
        <v>0.43848933604926138</v>
      </c>
      <c r="Z3" s="562">
        <f>+(Z4+Z17+Z48+Z57+Z77+Z109)/6</f>
        <v>0.19300125399793866</v>
      </c>
      <c r="AA3" s="562">
        <f>+(AA4*E4+AA17*E17+AA48*E48+AA57*E57+AA77*E77+AA109*E109)</f>
        <v>0.3953194428519276</v>
      </c>
      <c r="AB3" s="256"/>
      <c r="AC3" s="104"/>
    </row>
    <row r="4" spans="1:29" s="670" customFormat="1" ht="67.2" customHeight="1" thickBot="1" x14ac:dyDescent="0.5">
      <c r="A4" s="853"/>
      <c r="B4" s="990" t="s">
        <v>1517</v>
      </c>
      <c r="C4" s="954"/>
      <c r="D4" s="854"/>
      <c r="E4" s="855">
        <v>0.15</v>
      </c>
      <c r="F4" s="856">
        <f>+E4*V4</f>
        <v>9.6000000000000002E-2</v>
      </c>
      <c r="G4" s="857"/>
      <c r="H4" s="856">
        <f>+E4*W4</f>
        <v>0.10455</v>
      </c>
      <c r="I4" s="682">
        <f>+(I5+I9+I12)/2</f>
        <v>0.24124999999999999</v>
      </c>
      <c r="J4" s="682">
        <f>+(J5+J9+J12)/3</f>
        <v>0.23564814814814816</v>
      </c>
      <c r="K4" s="681">
        <f>+(K5+K9+K12)/2</f>
        <v>0.24783333333333332</v>
      </c>
      <c r="L4" s="681">
        <f>+(L5+L9+L12)/3</f>
        <v>0.17905555555555552</v>
      </c>
      <c r="M4" s="688"/>
      <c r="N4" s="688"/>
      <c r="O4" s="688"/>
      <c r="P4" s="688"/>
      <c r="Q4" s="688"/>
      <c r="R4" s="688"/>
      <c r="S4" s="688"/>
      <c r="T4" s="682">
        <f>+(T5+T9+T12)/2</f>
        <v>0.875</v>
      </c>
      <c r="U4" s="682">
        <f>+(U5+U9+U12)/3</f>
        <v>0.63888888888888884</v>
      </c>
      <c r="V4" s="681">
        <f>+V5+V9+V12</f>
        <v>0.64</v>
      </c>
      <c r="W4" s="681">
        <f>+W5+W9+W12</f>
        <v>0.69700000000000006</v>
      </c>
      <c r="X4" s="682">
        <f>(X5+X9+X12)/2</f>
        <v>0.21</v>
      </c>
      <c r="Y4" s="682">
        <f>+((Y5-X5)/3)+((Y9-X9)/3)+((Y12-X12)/3)+X4</f>
        <v>0.37019444444444449</v>
      </c>
      <c r="Z4" s="858">
        <f>(Z5+Z9+Z12)</f>
        <v>0.15870000000000001</v>
      </c>
      <c r="AA4" s="858">
        <f>(AA5*E5+AA9*E9+AA12*E12)</f>
        <v>0.33794999999999997</v>
      </c>
      <c r="AB4" s="859"/>
      <c r="AC4" s="684"/>
    </row>
    <row r="5" spans="1:29" ht="67.2" customHeight="1" thickBot="1" x14ac:dyDescent="0.4">
      <c r="A5" s="233"/>
      <c r="B5" s="991" t="s">
        <v>1749</v>
      </c>
      <c r="C5" s="977"/>
      <c r="D5" s="235"/>
      <c r="E5" s="238">
        <v>0.3</v>
      </c>
      <c r="F5" s="183"/>
      <c r="G5" s="123"/>
      <c r="H5" s="123"/>
      <c r="I5" s="129"/>
      <c r="J5" s="129">
        <f>+AVERAGE(J6:J8)</f>
        <v>0.30444444444444446</v>
      </c>
      <c r="K5" s="129"/>
      <c r="L5" s="129">
        <f>+L6+L7+L8</f>
        <v>0.13749999999999998</v>
      </c>
      <c r="M5" s="128"/>
      <c r="N5" s="128"/>
      <c r="O5" s="128"/>
      <c r="P5" s="128"/>
      <c r="Q5" s="128"/>
      <c r="R5" s="128"/>
      <c r="S5" s="128"/>
      <c r="T5" s="150"/>
      <c r="U5" s="150">
        <f>+AVERAGE(U6:U8)</f>
        <v>0.26666666666666666</v>
      </c>
      <c r="V5" s="150"/>
      <c r="W5" s="150">
        <f>+(W6+W7+W8)*E5</f>
        <v>8.3999999999999991E-2</v>
      </c>
      <c r="X5" s="129"/>
      <c r="Y5" s="129">
        <f>+(Y6*0.33)+(Y7*0.33)+(Y8*0.33)</f>
        <v>6.6000000000000003E-2</v>
      </c>
      <c r="Z5" s="129"/>
      <c r="AA5" s="129">
        <f>+(AA6+AA7+AA8)</f>
        <v>6.9999999999999993E-2</v>
      </c>
      <c r="AB5" s="117"/>
      <c r="AC5" s="106"/>
    </row>
    <row r="6" spans="1:29" ht="67.2" customHeight="1" thickBot="1" x14ac:dyDescent="0.4">
      <c r="A6" s="233"/>
      <c r="B6" s="935" t="s">
        <v>954</v>
      </c>
      <c r="C6" s="935" t="s">
        <v>1162</v>
      </c>
      <c r="D6" s="235" t="s">
        <v>516</v>
      </c>
      <c r="E6" s="192">
        <v>0.35</v>
      </c>
      <c r="F6" s="193">
        <v>40</v>
      </c>
      <c r="G6" s="130">
        <v>0</v>
      </c>
      <c r="H6" s="130">
        <v>10</v>
      </c>
      <c r="I6" s="136"/>
      <c r="J6" s="136">
        <f>+H6/F6</f>
        <v>0.25</v>
      </c>
      <c r="K6" s="136"/>
      <c r="L6" s="136">
        <f>+(H6/F6)*E6</f>
        <v>8.7499999999999994E-2</v>
      </c>
      <c r="M6" s="130"/>
      <c r="N6" s="550">
        <v>3</v>
      </c>
      <c r="O6" s="550">
        <v>4</v>
      </c>
      <c r="P6" s="130">
        <v>1</v>
      </c>
      <c r="Q6" s="130"/>
      <c r="R6" s="130">
        <f>+N6+O6+P6+Q6</f>
        <v>8</v>
      </c>
      <c r="S6" s="130">
        <f>+R6+M6</f>
        <v>8</v>
      </c>
      <c r="T6" s="137"/>
      <c r="U6" s="136">
        <f>+R6/H6</f>
        <v>0.8</v>
      </c>
      <c r="V6" s="138"/>
      <c r="W6" s="138">
        <f>+U6*E6</f>
        <v>0.27999999999999997</v>
      </c>
      <c r="X6" s="136"/>
      <c r="Y6" s="152">
        <f>+S6/F6</f>
        <v>0.2</v>
      </c>
      <c r="Z6" s="136"/>
      <c r="AA6" s="136">
        <f>+Y6*E6</f>
        <v>6.9999999999999993E-2</v>
      </c>
      <c r="AB6" s="117"/>
      <c r="AC6" s="106"/>
    </row>
    <row r="7" spans="1:29" ht="67.2" customHeight="1" thickBot="1" x14ac:dyDescent="0.4">
      <c r="A7" s="233"/>
      <c r="B7" s="935" t="s">
        <v>955</v>
      </c>
      <c r="C7" s="935" t="s">
        <v>1163</v>
      </c>
      <c r="D7" s="235" t="s">
        <v>516</v>
      </c>
      <c r="E7" s="195">
        <v>0.5</v>
      </c>
      <c r="F7" s="193">
        <v>1</v>
      </c>
      <c r="G7" s="130">
        <v>0</v>
      </c>
      <c r="H7" s="130">
        <v>0.33</v>
      </c>
      <c r="I7" s="136"/>
      <c r="J7" s="136">
        <f>+H7/F7</f>
        <v>0.33</v>
      </c>
      <c r="K7" s="136"/>
      <c r="L7" s="136"/>
      <c r="M7" s="130"/>
      <c r="N7" s="550"/>
      <c r="O7" s="550">
        <v>0</v>
      </c>
      <c r="P7" s="130"/>
      <c r="Q7" s="130"/>
      <c r="R7" s="130">
        <f>+N7+O7+P7+Q7</f>
        <v>0</v>
      </c>
      <c r="S7" s="130">
        <f>+R7+M7</f>
        <v>0</v>
      </c>
      <c r="T7" s="137"/>
      <c r="U7" s="136">
        <f>+R7/H7</f>
        <v>0</v>
      </c>
      <c r="V7" s="138"/>
      <c r="W7" s="138"/>
      <c r="X7" s="136"/>
      <c r="Y7" s="152">
        <f>+S7/F7</f>
        <v>0</v>
      </c>
      <c r="Z7" s="136"/>
      <c r="AA7" s="136">
        <f>+Y7*E7</f>
        <v>0</v>
      </c>
      <c r="AB7" s="117"/>
      <c r="AC7" s="106"/>
    </row>
    <row r="8" spans="1:29" ht="123" customHeight="1" thickBot="1" x14ac:dyDescent="0.4">
      <c r="A8" s="233"/>
      <c r="B8" s="791" t="s">
        <v>956</v>
      </c>
      <c r="C8" s="791" t="s">
        <v>1164</v>
      </c>
      <c r="D8" s="235" t="s">
        <v>516</v>
      </c>
      <c r="E8" s="239">
        <v>0.15</v>
      </c>
      <c r="F8" s="193">
        <v>3</v>
      </c>
      <c r="G8" s="130">
        <v>0</v>
      </c>
      <c r="H8" s="130">
        <v>1</v>
      </c>
      <c r="I8" s="136"/>
      <c r="J8" s="136">
        <f t="shared" ref="J8" si="0">+H8/F8</f>
        <v>0.33333333333333331</v>
      </c>
      <c r="K8" s="136"/>
      <c r="L8" s="136">
        <f t="shared" ref="L8" si="1">+(H8/F8)*E8</f>
        <v>4.9999999999999996E-2</v>
      </c>
      <c r="M8" s="130"/>
      <c r="N8" s="550">
        <v>0</v>
      </c>
      <c r="O8" s="550">
        <v>0</v>
      </c>
      <c r="P8" s="130"/>
      <c r="Q8" s="130"/>
      <c r="R8" s="130">
        <f>+N8+O8+P8+Q8</f>
        <v>0</v>
      </c>
      <c r="S8" s="130">
        <f>+R8+M8</f>
        <v>0</v>
      </c>
      <c r="T8" s="137"/>
      <c r="U8" s="136">
        <f t="shared" ref="U8" si="2">+R8/H8</f>
        <v>0</v>
      </c>
      <c r="V8" s="138"/>
      <c r="W8" s="138">
        <f>+U8*E8</f>
        <v>0</v>
      </c>
      <c r="X8" s="136"/>
      <c r="Y8" s="136">
        <v>0</v>
      </c>
      <c r="Z8" s="136"/>
      <c r="AA8" s="136">
        <f>+Y8*E8</f>
        <v>0</v>
      </c>
      <c r="AB8" s="117"/>
      <c r="AC8" s="106"/>
    </row>
    <row r="9" spans="1:29" ht="67.2" customHeight="1" thickBot="1" x14ac:dyDescent="0.4">
      <c r="A9" s="233"/>
      <c r="B9" s="991" t="s">
        <v>1750</v>
      </c>
      <c r="C9" s="977"/>
      <c r="D9" s="235"/>
      <c r="E9" s="240">
        <v>0.4</v>
      </c>
      <c r="F9" s="193"/>
      <c r="G9" s="130"/>
      <c r="H9" s="130"/>
      <c r="I9" s="129">
        <f>+AVERAGE(I10:I11)</f>
        <v>0.25</v>
      </c>
      <c r="J9" s="129">
        <f>+AVERAGE(J10:J11)</f>
        <v>0.25</v>
      </c>
      <c r="K9" s="129">
        <f>+K10+K11</f>
        <v>0.25</v>
      </c>
      <c r="L9" s="129">
        <f>+L10+L11</f>
        <v>0.25</v>
      </c>
      <c r="M9" s="128"/>
      <c r="N9" s="128"/>
      <c r="O9" s="128"/>
      <c r="P9" s="128"/>
      <c r="Q9" s="128"/>
      <c r="R9" s="128"/>
      <c r="S9" s="128"/>
      <c r="T9" s="150">
        <f>+AVERAGE(T10:T11)</f>
        <v>0.75</v>
      </c>
      <c r="U9" s="150">
        <f>+AVERAGE(U10:U11)</f>
        <v>0.75</v>
      </c>
      <c r="V9" s="150">
        <f>+(V10+V11)*E9</f>
        <v>0.34</v>
      </c>
      <c r="W9" s="150">
        <f>+(W10+W11)*E9</f>
        <v>0.34</v>
      </c>
      <c r="X9" s="129">
        <f>+AVERAGE(X10:X11)</f>
        <v>0.1875</v>
      </c>
      <c r="Y9" s="129">
        <f>+AVERAGE(Y10:Y11)</f>
        <v>0.375</v>
      </c>
      <c r="Z9" s="129">
        <f>+(Z10+Z11)*E9</f>
        <v>8.5000000000000006E-2</v>
      </c>
      <c r="AA9" s="129">
        <f>+(AA10+AA11)</f>
        <v>0.42499999999999999</v>
      </c>
      <c r="AB9" s="117"/>
      <c r="AC9" s="106"/>
    </row>
    <row r="10" spans="1:29" ht="163.95" customHeight="1" thickBot="1" x14ac:dyDescent="0.4">
      <c r="A10" s="233"/>
      <c r="B10" s="935" t="s">
        <v>957</v>
      </c>
      <c r="C10" s="935" t="s">
        <v>1165</v>
      </c>
      <c r="D10" s="235" t="s">
        <v>516</v>
      </c>
      <c r="E10" s="192">
        <v>0.7</v>
      </c>
      <c r="F10" s="193">
        <v>1</v>
      </c>
      <c r="G10" s="130">
        <v>0.25</v>
      </c>
      <c r="H10" s="130">
        <v>0.25</v>
      </c>
      <c r="I10" s="136">
        <f>+G10/F10</f>
        <v>0.25</v>
      </c>
      <c r="J10" s="136">
        <f>+H10/F10</f>
        <v>0.25</v>
      </c>
      <c r="K10" s="136">
        <f>+(G10/F10)*E10</f>
        <v>0.17499999999999999</v>
      </c>
      <c r="L10" s="136">
        <f>+(H10/F10)*E10</f>
        <v>0.17499999999999999</v>
      </c>
      <c r="M10" s="130">
        <v>0.25</v>
      </c>
      <c r="N10" s="550">
        <v>0</v>
      </c>
      <c r="O10" s="550">
        <v>0.18</v>
      </c>
      <c r="P10" s="550">
        <v>7.0000000000000007E-2</v>
      </c>
      <c r="Q10" s="130"/>
      <c r="R10" s="130">
        <f t="shared" ref="R10:R11" si="3">+N10+O10+P10+Q10</f>
        <v>0.25</v>
      </c>
      <c r="S10" s="130">
        <f t="shared" ref="S10:S11" si="4">+R10+M10</f>
        <v>0.5</v>
      </c>
      <c r="T10" s="136">
        <f>+(M10/G10)</f>
        <v>1</v>
      </c>
      <c r="U10" s="136">
        <f t="shared" ref="U10:U11" si="5">+R10/H10</f>
        <v>1</v>
      </c>
      <c r="V10" s="138">
        <f>+T10*E10</f>
        <v>0.7</v>
      </c>
      <c r="W10" s="138">
        <f t="shared" ref="W10:W16" si="6">+U10*E10</f>
        <v>0.7</v>
      </c>
      <c r="X10" s="136">
        <f>+M10/F10</f>
        <v>0.25</v>
      </c>
      <c r="Y10" s="136">
        <f t="shared" ref="Y10:Y11" si="7">+S10/F10</f>
        <v>0.5</v>
      </c>
      <c r="Z10" s="136">
        <f>+X10*E10</f>
        <v>0.17499999999999999</v>
      </c>
      <c r="AA10" s="136">
        <f>+Y10*E10</f>
        <v>0.35</v>
      </c>
      <c r="AB10" s="117"/>
      <c r="AC10" s="106"/>
    </row>
    <row r="11" spans="1:29" ht="97.2" customHeight="1" thickBot="1" x14ac:dyDescent="0.4">
      <c r="A11" s="233"/>
      <c r="B11" s="935" t="s">
        <v>958</v>
      </c>
      <c r="C11" s="935" t="s">
        <v>1166</v>
      </c>
      <c r="D11" s="235" t="s">
        <v>959</v>
      </c>
      <c r="E11" s="239">
        <v>0.3</v>
      </c>
      <c r="F11" s="193">
        <v>8</v>
      </c>
      <c r="G11" s="130">
        <v>2</v>
      </c>
      <c r="H11" s="130">
        <v>2</v>
      </c>
      <c r="I11" s="136">
        <f>+G11/F11</f>
        <v>0.25</v>
      </c>
      <c r="J11" s="136">
        <f>+H11/F11</f>
        <v>0.25</v>
      </c>
      <c r="K11" s="136">
        <f>+(G11/F11)*E11</f>
        <v>7.4999999999999997E-2</v>
      </c>
      <c r="L11" s="136">
        <f>+(H11/F11)*E11</f>
        <v>7.4999999999999997E-2</v>
      </c>
      <c r="M11" s="130">
        <v>1</v>
      </c>
      <c r="N11" s="550">
        <v>0</v>
      </c>
      <c r="O11" s="550">
        <v>1</v>
      </c>
      <c r="P11" s="550">
        <v>0</v>
      </c>
      <c r="Q11" s="130"/>
      <c r="R11" s="130">
        <f t="shared" si="3"/>
        <v>1</v>
      </c>
      <c r="S11" s="130">
        <f t="shared" si="4"/>
        <v>2</v>
      </c>
      <c r="T11" s="136">
        <f>+(M11/G11)</f>
        <v>0.5</v>
      </c>
      <c r="U11" s="136">
        <f t="shared" si="5"/>
        <v>0.5</v>
      </c>
      <c r="V11" s="138">
        <f>+T11*E11</f>
        <v>0.15</v>
      </c>
      <c r="W11" s="138">
        <f t="shared" si="6"/>
        <v>0.15</v>
      </c>
      <c r="X11" s="136">
        <f>+M11/F11</f>
        <v>0.125</v>
      </c>
      <c r="Y11" s="136">
        <f t="shared" si="7"/>
        <v>0.25</v>
      </c>
      <c r="Z11" s="136">
        <f>+X11*E11</f>
        <v>3.7499999999999999E-2</v>
      </c>
      <c r="AA11" s="136">
        <f>+Y11*E11</f>
        <v>7.4999999999999997E-2</v>
      </c>
      <c r="AB11" s="117"/>
      <c r="AC11" s="106"/>
    </row>
    <row r="12" spans="1:29" ht="67.2" customHeight="1" thickBot="1" x14ac:dyDescent="0.4">
      <c r="A12" s="233"/>
      <c r="B12" s="991" t="s">
        <v>1751</v>
      </c>
      <c r="C12" s="977"/>
      <c r="D12" s="235"/>
      <c r="E12" s="241">
        <v>0.3</v>
      </c>
      <c r="F12" s="183"/>
      <c r="G12" s="123"/>
      <c r="H12" s="123"/>
      <c r="I12" s="129">
        <f>+AVERAGE(I13:I16)</f>
        <v>0.23249999999999998</v>
      </c>
      <c r="J12" s="129">
        <f>+AVERAGE(J13:J16)</f>
        <v>0.1525</v>
      </c>
      <c r="K12" s="129">
        <f>+K13+K14+K15+K16</f>
        <v>0.24566666666666664</v>
      </c>
      <c r="L12" s="129">
        <f>+L13+L14+L15+L16</f>
        <v>0.14966666666666667</v>
      </c>
      <c r="M12" s="128"/>
      <c r="N12" s="128"/>
      <c r="O12" s="128"/>
      <c r="P12" s="128"/>
      <c r="Q12" s="128"/>
      <c r="R12" s="128"/>
      <c r="S12" s="128"/>
      <c r="T12" s="150">
        <f>+AVERAGE(T13:T16)</f>
        <v>1</v>
      </c>
      <c r="U12" s="150">
        <f>+AVERAGE(U13:U16)</f>
        <v>0.9</v>
      </c>
      <c r="V12" s="150">
        <f>+(V13+V14+V15+V16)*E12</f>
        <v>0.3</v>
      </c>
      <c r="W12" s="150">
        <f>+(W13+W14+W15+W16)*E12</f>
        <v>0.27300000000000002</v>
      </c>
      <c r="X12" s="129">
        <f>+AVERAGE(X13:X16)</f>
        <v>0.23249999999999998</v>
      </c>
      <c r="Y12" s="129">
        <f>+AVERAGE(Y13:Y16)</f>
        <v>0.45958333333333334</v>
      </c>
      <c r="Z12" s="129">
        <f>+(Z13+Z14+Z15+Z16)*E12</f>
        <v>7.3699999999999988E-2</v>
      </c>
      <c r="AA12" s="129">
        <f>+(AA13+AA14+AA15+AA16)</f>
        <v>0.48983333333333334</v>
      </c>
      <c r="AB12" s="117"/>
      <c r="AC12" s="106"/>
    </row>
    <row r="13" spans="1:29" ht="135.6" customHeight="1" thickBot="1" x14ac:dyDescent="0.4">
      <c r="A13" s="233"/>
      <c r="B13" s="935" t="s">
        <v>960</v>
      </c>
      <c r="C13" s="935" t="s">
        <v>1167</v>
      </c>
      <c r="D13" s="142" t="s">
        <v>961</v>
      </c>
      <c r="E13" s="195">
        <v>0.3</v>
      </c>
      <c r="F13" s="666">
        <v>3000</v>
      </c>
      <c r="G13" s="130">
        <v>350</v>
      </c>
      <c r="H13" s="130">
        <v>350</v>
      </c>
      <c r="I13" s="136">
        <f>+G13/F13</f>
        <v>0.11666666666666667</v>
      </c>
      <c r="J13" s="136">
        <f t="shared" ref="J13:J16" si="8">+H13/F13</f>
        <v>0.11666666666666667</v>
      </c>
      <c r="K13" s="136">
        <f>+(G13/F13)*E13</f>
        <v>3.4999999999999996E-2</v>
      </c>
      <c r="L13" s="136">
        <f t="shared" ref="L13:L16" si="9">+(H13/F13)*E13</f>
        <v>3.4999999999999996E-2</v>
      </c>
      <c r="M13" s="130">
        <v>350</v>
      </c>
      <c r="N13" s="550">
        <v>0</v>
      </c>
      <c r="O13" s="550">
        <v>160</v>
      </c>
      <c r="P13" s="550">
        <v>155</v>
      </c>
      <c r="Q13" s="130"/>
      <c r="R13" s="130">
        <f t="shared" ref="R13:R16" si="10">+N13+O13+P13+Q13</f>
        <v>315</v>
      </c>
      <c r="S13" s="130">
        <f t="shared" ref="S13:S16" si="11">+R13+M13</f>
        <v>665</v>
      </c>
      <c r="T13" s="136">
        <f>+(M13/G13)</f>
        <v>1</v>
      </c>
      <c r="U13" s="136">
        <f t="shared" ref="U13:U15" si="12">+R13/H13</f>
        <v>0.9</v>
      </c>
      <c r="V13" s="138">
        <f>+T13*E13</f>
        <v>0.3</v>
      </c>
      <c r="W13" s="138">
        <f t="shared" si="6"/>
        <v>0.27</v>
      </c>
      <c r="X13" s="136">
        <f>+M13/F13</f>
        <v>0.11666666666666667</v>
      </c>
      <c r="Y13" s="136">
        <f>+S13/F13</f>
        <v>0.22166666666666668</v>
      </c>
      <c r="Z13" s="136">
        <f>+X13*E13</f>
        <v>3.4999999999999996E-2</v>
      </c>
      <c r="AA13" s="136">
        <f>+Y13*E13</f>
        <v>6.6500000000000004E-2</v>
      </c>
      <c r="AB13" s="117"/>
      <c r="AC13" s="106"/>
    </row>
    <row r="14" spans="1:29" ht="67.2" customHeight="1" thickBot="1" x14ac:dyDescent="0.4">
      <c r="A14" s="233"/>
      <c r="B14" s="935" t="s">
        <v>962</v>
      </c>
      <c r="C14" s="935" t="s">
        <v>1168</v>
      </c>
      <c r="D14" s="142" t="s">
        <v>963</v>
      </c>
      <c r="E14" s="195">
        <v>0.2</v>
      </c>
      <c r="F14" s="666">
        <v>6</v>
      </c>
      <c r="G14" s="130">
        <v>1</v>
      </c>
      <c r="H14" s="130">
        <v>1</v>
      </c>
      <c r="I14" s="136">
        <f>+G14/F14</f>
        <v>0.16666666666666666</v>
      </c>
      <c r="J14" s="136">
        <f t="shared" si="8"/>
        <v>0.16666666666666666</v>
      </c>
      <c r="K14" s="136">
        <f>+(G14/F14)*E14</f>
        <v>3.3333333333333333E-2</v>
      </c>
      <c r="L14" s="136">
        <f t="shared" si="9"/>
        <v>3.3333333333333333E-2</v>
      </c>
      <c r="M14" s="130">
        <v>1</v>
      </c>
      <c r="N14" s="550">
        <v>0</v>
      </c>
      <c r="O14" s="550">
        <v>0.6</v>
      </c>
      <c r="P14" s="550">
        <v>0.2</v>
      </c>
      <c r="Q14" s="130"/>
      <c r="R14" s="130">
        <f t="shared" si="10"/>
        <v>0.8</v>
      </c>
      <c r="S14" s="665">
        <f t="shared" si="11"/>
        <v>1.8</v>
      </c>
      <c r="T14" s="136">
        <f>+(M14/G14)</f>
        <v>1</v>
      </c>
      <c r="U14" s="136">
        <f t="shared" si="12"/>
        <v>0.8</v>
      </c>
      <c r="V14" s="138">
        <f>+T14*E14</f>
        <v>0.2</v>
      </c>
      <c r="W14" s="138">
        <f t="shared" si="6"/>
        <v>0.16000000000000003</v>
      </c>
      <c r="X14" s="136">
        <f>+M14/F14</f>
        <v>0.16666666666666666</v>
      </c>
      <c r="Y14" s="136">
        <f>+S14/F14</f>
        <v>0.3</v>
      </c>
      <c r="Z14" s="136">
        <f>+X14*E14</f>
        <v>3.3333333333333333E-2</v>
      </c>
      <c r="AA14" s="136">
        <f>+Y14*E14</f>
        <v>0.06</v>
      </c>
      <c r="AB14" s="117"/>
      <c r="AC14" s="106"/>
    </row>
    <row r="15" spans="1:29" ht="67.2" customHeight="1" thickBot="1" x14ac:dyDescent="0.4">
      <c r="A15" s="233"/>
      <c r="B15" s="791" t="s">
        <v>964</v>
      </c>
      <c r="C15" s="791" t="s">
        <v>1169</v>
      </c>
      <c r="D15" s="142" t="s">
        <v>963</v>
      </c>
      <c r="E15" s="195">
        <v>0.2</v>
      </c>
      <c r="F15" s="666">
        <v>6</v>
      </c>
      <c r="G15" s="130">
        <v>1</v>
      </c>
      <c r="H15" s="130">
        <v>1</v>
      </c>
      <c r="I15" s="136">
        <f>+G15/F15</f>
        <v>0.16666666666666666</v>
      </c>
      <c r="J15" s="136">
        <f t="shared" si="8"/>
        <v>0.16666666666666666</v>
      </c>
      <c r="K15" s="136">
        <f>+(G15/F15)*E15</f>
        <v>3.3333333333333333E-2</v>
      </c>
      <c r="L15" s="136">
        <f t="shared" si="9"/>
        <v>3.3333333333333333E-2</v>
      </c>
      <c r="M15" s="130">
        <v>1</v>
      </c>
      <c r="N15" s="550">
        <v>0</v>
      </c>
      <c r="O15" s="550">
        <v>0.5</v>
      </c>
      <c r="P15" s="550">
        <v>0.4</v>
      </c>
      <c r="Q15" s="130"/>
      <c r="R15" s="130">
        <f t="shared" si="10"/>
        <v>0.9</v>
      </c>
      <c r="S15" s="130">
        <f t="shared" si="11"/>
        <v>1.9</v>
      </c>
      <c r="T15" s="136">
        <f>+(M15/G15)</f>
        <v>1</v>
      </c>
      <c r="U15" s="136">
        <f t="shared" si="12"/>
        <v>0.9</v>
      </c>
      <c r="V15" s="138">
        <f>+T15*E15</f>
        <v>0.2</v>
      </c>
      <c r="W15" s="138">
        <f t="shared" si="6"/>
        <v>0.18000000000000002</v>
      </c>
      <c r="X15" s="136">
        <f>+M15/F15</f>
        <v>0.16666666666666666</v>
      </c>
      <c r="Y15" s="136">
        <f t="shared" ref="Y15" si="13">+S15/F15</f>
        <v>0.31666666666666665</v>
      </c>
      <c r="Z15" s="136">
        <f>+X15*E15</f>
        <v>3.3333333333333333E-2</v>
      </c>
      <c r="AA15" s="136">
        <f>+Y15*E15</f>
        <v>6.3333333333333339E-2</v>
      </c>
      <c r="AB15" s="117"/>
      <c r="AC15" s="106"/>
    </row>
    <row r="16" spans="1:29" ht="67.2" customHeight="1" thickBot="1" x14ac:dyDescent="0.4">
      <c r="A16" s="233"/>
      <c r="B16" s="791" t="s">
        <v>965</v>
      </c>
      <c r="C16" s="791" t="s">
        <v>1170</v>
      </c>
      <c r="D16" s="142" t="s">
        <v>963</v>
      </c>
      <c r="E16" s="195">
        <v>0.3</v>
      </c>
      <c r="F16" s="193">
        <v>50</v>
      </c>
      <c r="G16" s="130">
        <v>24</v>
      </c>
      <c r="H16" s="130">
        <v>8</v>
      </c>
      <c r="I16" s="136">
        <f>+G16/F16</f>
        <v>0.48</v>
      </c>
      <c r="J16" s="136">
        <f t="shared" si="8"/>
        <v>0.16</v>
      </c>
      <c r="K16" s="136">
        <f>+(G16/F16)*E16</f>
        <v>0.14399999999999999</v>
      </c>
      <c r="L16" s="136">
        <f t="shared" si="9"/>
        <v>4.8000000000000001E-2</v>
      </c>
      <c r="M16" s="130">
        <v>24</v>
      </c>
      <c r="N16" s="550">
        <v>26</v>
      </c>
      <c r="O16" s="550">
        <v>1</v>
      </c>
      <c r="P16" s="550">
        <v>3</v>
      </c>
      <c r="Q16" s="130"/>
      <c r="R16" s="130">
        <f t="shared" si="10"/>
        <v>30</v>
      </c>
      <c r="S16" s="130">
        <f t="shared" si="11"/>
        <v>54</v>
      </c>
      <c r="T16" s="136">
        <f>+(M16/G16)</f>
        <v>1</v>
      </c>
      <c r="U16" s="136">
        <v>1</v>
      </c>
      <c r="V16" s="138">
        <f>+T16*E16</f>
        <v>0.3</v>
      </c>
      <c r="W16" s="138">
        <f t="shared" si="6"/>
        <v>0.3</v>
      </c>
      <c r="X16" s="136">
        <f>+M16/F16</f>
        <v>0.48</v>
      </c>
      <c r="Y16" s="136">
        <v>1</v>
      </c>
      <c r="Z16" s="136">
        <f>+X16*E16</f>
        <v>0.14399999999999999</v>
      </c>
      <c r="AA16" s="136">
        <f>+Y16*E16</f>
        <v>0.3</v>
      </c>
      <c r="AB16" s="117"/>
      <c r="AC16" s="106"/>
    </row>
    <row r="17" spans="1:29" ht="99" customHeight="1" thickBot="1" x14ac:dyDescent="0.4">
      <c r="A17" s="233"/>
      <c r="B17" s="985" t="s">
        <v>1752</v>
      </c>
      <c r="C17" s="977"/>
      <c r="D17" s="235"/>
      <c r="E17" s="201">
        <v>0.2</v>
      </c>
      <c r="F17" s="236">
        <f>+E17*V17</f>
        <v>0.14985474006116206</v>
      </c>
      <c r="G17" s="123"/>
      <c r="H17" s="236">
        <f>+E17*W17</f>
        <v>0.1526583714795009</v>
      </c>
      <c r="I17" s="121">
        <f>+(I18+I23+I26+I30+I32+I36+I40+I43)/6</f>
        <v>0.19706348655814188</v>
      </c>
      <c r="J17" s="121">
        <f>+(J18+J23+J26+J30+J32+J36+J40+J43)/7</f>
        <v>0.31348760236357409</v>
      </c>
      <c r="K17" s="122">
        <f>+(K18+K23+K26+K30+K32+K36+K40+K43)/6</f>
        <v>0.16739826874293517</v>
      </c>
      <c r="L17" s="122">
        <f>+(L18+L23+L26+L30+L32+L36+L40+L43)/8</f>
        <v>0.26547811227938456</v>
      </c>
      <c r="M17" s="123"/>
      <c r="N17" s="123"/>
      <c r="O17" s="123"/>
      <c r="P17" s="123"/>
      <c r="Q17" s="123"/>
      <c r="R17" s="123"/>
      <c r="S17" s="123"/>
      <c r="T17" s="121">
        <f>+(T18+T23+T26+T30+T32+T36+T40+T43)/6</f>
        <v>0.92647808358817529</v>
      </c>
      <c r="U17" s="121">
        <f>+(U18+U23+U26+U30+U32+U36+U40+U43)/7</f>
        <v>0.77890118835412969</v>
      </c>
      <c r="V17" s="122">
        <f>+V18+V23+V26+V30+V32+V36+V40+V43</f>
        <v>0.74927370030581031</v>
      </c>
      <c r="W17" s="122">
        <f>+W18+W23+W26+W30+W32+W36+W40+W43</f>
        <v>0.76329185739750449</v>
      </c>
      <c r="X17" s="121">
        <f>(X18+X23+X26+X30+X32+X36+X40+X43)/6</f>
        <v>0.19974545886160069</v>
      </c>
      <c r="Y17" s="121">
        <f>(Y18+Y23+Y26+Y30+Y32+Y36+Y40+Y43)/8</f>
        <v>0.35496616677585602</v>
      </c>
      <c r="Z17" s="237">
        <f>(Z18+Z23+Z26+Z30+Z32+Z36+Z40+Z43)</f>
        <v>0.14653217466808169</v>
      </c>
      <c r="AA17" s="237">
        <f>(AA18*E18+AA23*E23+AA26*E26+AA30*E30+AA32*E32+AA36*E36+AA40*E40+AA43*E43)</f>
        <v>0.38578359158763625</v>
      </c>
      <c r="AB17" s="117"/>
      <c r="AC17" s="106"/>
    </row>
    <row r="18" spans="1:29" ht="67.2" customHeight="1" thickBot="1" x14ac:dyDescent="0.4">
      <c r="A18" s="233"/>
      <c r="B18" s="991" t="s">
        <v>1684</v>
      </c>
      <c r="C18" s="977"/>
      <c r="D18" s="235"/>
      <c r="E18" s="199">
        <v>0.15</v>
      </c>
      <c r="F18" s="183"/>
      <c r="G18" s="123"/>
      <c r="H18" s="123"/>
      <c r="I18" s="129">
        <f>+AVERAGE(I19:I22)</f>
        <v>0.27777777777777773</v>
      </c>
      <c r="J18" s="129">
        <f>+AVERAGE(J19:J22)</f>
        <v>0.29083333333333333</v>
      </c>
      <c r="K18" s="129">
        <f>+K19+K20+K21+K22</f>
        <v>0.27083333333333337</v>
      </c>
      <c r="L18" s="129">
        <f>+L19+L20+L21+L22</f>
        <v>0.28733333333333333</v>
      </c>
      <c r="M18" s="128"/>
      <c r="N18" s="128"/>
      <c r="O18" s="128"/>
      <c r="P18" s="128"/>
      <c r="Q18" s="128"/>
      <c r="R18" s="128"/>
      <c r="S18" s="128"/>
      <c r="T18" s="150">
        <f>+AVERAGE(T19:T22)</f>
        <v>1</v>
      </c>
      <c r="U18" s="150">
        <f>+AVERAGE(U19:U22)</f>
        <v>0.84856060606060602</v>
      </c>
      <c r="V18" s="150">
        <f>+(V19+V20+V21+V22)*E18</f>
        <v>0.14249999999999999</v>
      </c>
      <c r="W18" s="150">
        <f>+(W19+W20+W21+W22)*E18</f>
        <v>0.12858181818181819</v>
      </c>
      <c r="X18" s="129">
        <f>+AVERAGE(X19:X22)</f>
        <v>0.27777777777777773</v>
      </c>
      <c r="Y18" s="129">
        <f>+AVERAGE(Y19:Y22)</f>
        <v>0.47485833333333333</v>
      </c>
      <c r="Z18" s="129">
        <f>+(Z19+Z20+Z21+Z22)*E18</f>
        <v>4.0625000000000001E-2</v>
      </c>
      <c r="AA18" s="129">
        <f>+(AA19+AA20+AA21+AA22)</f>
        <v>0.54851333333333341</v>
      </c>
      <c r="AB18" s="117"/>
      <c r="AC18" s="106"/>
    </row>
    <row r="19" spans="1:29" ht="95.4" customHeight="1" thickBot="1" x14ac:dyDescent="0.4">
      <c r="A19" s="233"/>
      <c r="B19" s="791" t="s">
        <v>966</v>
      </c>
      <c r="C19" s="791" t="s">
        <v>1171</v>
      </c>
      <c r="D19" s="235" t="s">
        <v>516</v>
      </c>
      <c r="E19" s="195">
        <v>0.05</v>
      </c>
      <c r="F19" s="193">
        <v>1</v>
      </c>
      <c r="G19" s="130">
        <v>0.25</v>
      </c>
      <c r="H19" s="130">
        <v>0.25</v>
      </c>
      <c r="I19" s="136">
        <f>+G19/F19</f>
        <v>0.25</v>
      </c>
      <c r="J19" s="136">
        <f t="shared" ref="J19:J22" si="14">+H19/F19</f>
        <v>0.25</v>
      </c>
      <c r="K19" s="136">
        <f>+(G19/F19)*E19</f>
        <v>1.2500000000000001E-2</v>
      </c>
      <c r="L19" s="136">
        <f t="shared" ref="L19:L47" si="15">+(H19/F19)*E19</f>
        <v>1.2500000000000001E-2</v>
      </c>
      <c r="M19" s="164">
        <v>0.25</v>
      </c>
      <c r="N19" s="550">
        <v>0.05</v>
      </c>
      <c r="O19" s="550">
        <v>0.13</v>
      </c>
      <c r="P19" s="550">
        <v>0.02</v>
      </c>
      <c r="Q19" s="130"/>
      <c r="R19" s="130">
        <f t="shared" ref="R19:R22" si="16">+N19+O19+P19+Q19</f>
        <v>0.19999999999999998</v>
      </c>
      <c r="S19" s="130">
        <f t="shared" ref="S19:S22" si="17">+R19+M19</f>
        <v>0.44999999999999996</v>
      </c>
      <c r="T19" s="136">
        <v>1</v>
      </c>
      <c r="U19" s="136">
        <f t="shared" ref="U19:U22" si="18">+R19/H19</f>
        <v>0.79999999999999993</v>
      </c>
      <c r="V19" s="152">
        <f>+T19*E19</f>
        <v>0.05</v>
      </c>
      <c r="W19" s="152">
        <f t="shared" ref="W19:W22" si="19">+U19*E19</f>
        <v>0.04</v>
      </c>
      <c r="X19" s="152">
        <f>+M19/F19</f>
        <v>0.25</v>
      </c>
      <c r="Y19" s="152">
        <f t="shared" ref="Y19:Y22" si="20">+S19/F19</f>
        <v>0.44999999999999996</v>
      </c>
      <c r="Z19" s="152">
        <f>+X19*E19</f>
        <v>1.2500000000000001E-2</v>
      </c>
      <c r="AA19" s="152">
        <f>+Y19*E19</f>
        <v>2.2499999999999999E-2</v>
      </c>
      <c r="AB19" s="117"/>
      <c r="AC19" s="106"/>
    </row>
    <row r="20" spans="1:29" ht="136.94999999999999" customHeight="1" thickBot="1" x14ac:dyDescent="0.4">
      <c r="A20" s="233"/>
      <c r="B20" s="791" t="s">
        <v>967</v>
      </c>
      <c r="C20" s="791" t="s">
        <v>1172</v>
      </c>
      <c r="D20" s="235" t="s">
        <v>968</v>
      </c>
      <c r="E20" s="195">
        <v>0.05</v>
      </c>
      <c r="F20" s="193">
        <v>1</v>
      </c>
      <c r="G20" s="130">
        <v>0</v>
      </c>
      <c r="H20" s="130">
        <v>0.33</v>
      </c>
      <c r="I20" s="136"/>
      <c r="J20" s="136">
        <f t="shared" si="14"/>
        <v>0.33</v>
      </c>
      <c r="K20" s="136"/>
      <c r="L20" s="136">
        <f t="shared" si="15"/>
        <v>1.6500000000000001E-2</v>
      </c>
      <c r="M20" s="130"/>
      <c r="N20" s="550">
        <v>0</v>
      </c>
      <c r="O20" s="550">
        <v>6.4500000000000002E-2</v>
      </c>
      <c r="P20" s="550">
        <v>0.21410000000000001</v>
      </c>
      <c r="Q20" s="130"/>
      <c r="R20" s="130">
        <f t="shared" si="16"/>
        <v>0.27860000000000001</v>
      </c>
      <c r="S20" s="130">
        <f t="shared" si="17"/>
        <v>0.27860000000000001</v>
      </c>
      <c r="T20" s="136"/>
      <c r="U20" s="136">
        <f t="shared" si="18"/>
        <v>0.84424242424242424</v>
      </c>
      <c r="V20" s="152"/>
      <c r="W20" s="152">
        <f t="shared" si="19"/>
        <v>4.2212121212121215E-2</v>
      </c>
      <c r="X20" s="152"/>
      <c r="Y20" s="152">
        <f t="shared" si="20"/>
        <v>0.27860000000000001</v>
      </c>
      <c r="Z20" s="152"/>
      <c r="AA20" s="152">
        <f>+Y20*E20</f>
        <v>1.3930000000000001E-2</v>
      </c>
      <c r="AB20" s="117"/>
      <c r="AC20" s="106"/>
    </row>
    <row r="21" spans="1:29" ht="97.2" customHeight="1" thickBot="1" x14ac:dyDescent="0.4">
      <c r="A21" s="233"/>
      <c r="B21" s="935" t="s">
        <v>969</v>
      </c>
      <c r="C21" s="935" t="s">
        <v>1173</v>
      </c>
      <c r="D21" s="235" t="s">
        <v>790</v>
      </c>
      <c r="E21" s="195">
        <v>0.4</v>
      </c>
      <c r="F21" s="193">
        <v>3</v>
      </c>
      <c r="G21" s="130">
        <v>1</v>
      </c>
      <c r="H21" s="130">
        <v>1</v>
      </c>
      <c r="I21" s="136">
        <f>+G21/F21</f>
        <v>0.33333333333333331</v>
      </c>
      <c r="J21" s="136">
        <f t="shared" si="14"/>
        <v>0.33333333333333331</v>
      </c>
      <c r="K21" s="136">
        <f>+(G21/F21)*E21</f>
        <v>0.13333333333333333</v>
      </c>
      <c r="L21" s="136">
        <f t="shared" si="15"/>
        <v>0.13333333333333333</v>
      </c>
      <c r="M21" s="130">
        <v>1</v>
      </c>
      <c r="N21" s="550">
        <v>1</v>
      </c>
      <c r="O21" s="550">
        <v>0.2</v>
      </c>
      <c r="P21" s="550">
        <v>0</v>
      </c>
      <c r="Q21" s="130"/>
      <c r="R21" s="130">
        <f t="shared" si="16"/>
        <v>1.2</v>
      </c>
      <c r="S21" s="130">
        <f t="shared" si="17"/>
        <v>2.2000000000000002</v>
      </c>
      <c r="T21" s="136">
        <f>+(M21/G21)</f>
        <v>1</v>
      </c>
      <c r="U21" s="136">
        <v>1</v>
      </c>
      <c r="V21" s="152">
        <f>+T21*E21</f>
        <v>0.4</v>
      </c>
      <c r="W21" s="152">
        <f t="shared" si="19"/>
        <v>0.4</v>
      </c>
      <c r="X21" s="152">
        <f>+M21/F21</f>
        <v>0.33333333333333331</v>
      </c>
      <c r="Y21" s="152">
        <f t="shared" si="20"/>
        <v>0.73333333333333339</v>
      </c>
      <c r="Z21" s="152">
        <f>+X21*E21</f>
        <v>0.13333333333333333</v>
      </c>
      <c r="AA21" s="152">
        <f>+Y21*E21</f>
        <v>0.29333333333333339</v>
      </c>
      <c r="AB21" s="117"/>
      <c r="AC21" s="106"/>
    </row>
    <row r="22" spans="1:29" ht="81" customHeight="1" thickBot="1" x14ac:dyDescent="0.4">
      <c r="A22" s="233"/>
      <c r="B22" s="791" t="s">
        <v>970</v>
      </c>
      <c r="C22" s="791" t="s">
        <v>1174</v>
      </c>
      <c r="D22" s="235" t="s">
        <v>790</v>
      </c>
      <c r="E22" s="195">
        <v>0.5</v>
      </c>
      <c r="F22" s="193">
        <v>4</v>
      </c>
      <c r="G22" s="130">
        <v>1</v>
      </c>
      <c r="H22" s="130">
        <v>1</v>
      </c>
      <c r="I22" s="136">
        <f>+G22/F22</f>
        <v>0.25</v>
      </c>
      <c r="J22" s="136">
        <f t="shared" si="14"/>
        <v>0.25</v>
      </c>
      <c r="K22" s="136">
        <f>+(G22/F22)*E22</f>
        <v>0.125</v>
      </c>
      <c r="L22" s="136">
        <f t="shared" si="15"/>
        <v>0.125</v>
      </c>
      <c r="M22" s="130">
        <v>1</v>
      </c>
      <c r="N22" s="550">
        <v>0.25</v>
      </c>
      <c r="O22" s="550">
        <v>0.18</v>
      </c>
      <c r="P22" s="550">
        <v>0.32</v>
      </c>
      <c r="Q22" s="130"/>
      <c r="R22" s="130">
        <f t="shared" si="16"/>
        <v>0.75</v>
      </c>
      <c r="S22" s="130">
        <f t="shared" si="17"/>
        <v>1.75</v>
      </c>
      <c r="T22" s="136">
        <f>+(M22/G22)</f>
        <v>1</v>
      </c>
      <c r="U22" s="136">
        <f t="shared" si="18"/>
        <v>0.75</v>
      </c>
      <c r="V22" s="152">
        <f>+T22*E22</f>
        <v>0.5</v>
      </c>
      <c r="W22" s="152">
        <f t="shared" si="19"/>
        <v>0.375</v>
      </c>
      <c r="X22" s="152">
        <f>+M22/F22</f>
        <v>0.25</v>
      </c>
      <c r="Y22" s="152">
        <f t="shared" si="20"/>
        <v>0.4375</v>
      </c>
      <c r="Z22" s="152">
        <f>+X22*E22</f>
        <v>0.125</v>
      </c>
      <c r="AA22" s="152">
        <f>+Y22*E22</f>
        <v>0.21875</v>
      </c>
      <c r="AB22" s="117"/>
      <c r="AC22" s="106"/>
    </row>
    <row r="23" spans="1:29" ht="67.2" customHeight="1" thickBot="1" x14ac:dyDescent="0.4">
      <c r="A23" s="233"/>
      <c r="B23" s="991" t="s">
        <v>1753</v>
      </c>
      <c r="C23" s="977"/>
      <c r="D23" s="180"/>
      <c r="E23" s="199">
        <v>0.05</v>
      </c>
      <c r="F23" s="183"/>
      <c r="G23" s="123"/>
      <c r="H23" s="123"/>
      <c r="I23" s="129">
        <f>+AVERAGE(I24:I25)</f>
        <v>0.25</v>
      </c>
      <c r="J23" s="129">
        <f>+AVERAGE(J24:J25)</f>
        <v>0.25</v>
      </c>
      <c r="K23" s="129">
        <f>+K24+K25</f>
        <v>0.25</v>
      </c>
      <c r="L23" s="129">
        <f>+L24+L25</f>
        <v>0.25</v>
      </c>
      <c r="M23" s="128"/>
      <c r="N23" s="128"/>
      <c r="O23" s="128"/>
      <c r="P23" s="128"/>
      <c r="Q23" s="128"/>
      <c r="R23" s="128"/>
      <c r="S23" s="128"/>
      <c r="T23" s="150">
        <f>+AVERAGE(T24:T25)</f>
        <v>1</v>
      </c>
      <c r="U23" s="150">
        <f>+AVERAGE(U24:U25)</f>
        <v>0.95</v>
      </c>
      <c r="V23" s="150">
        <f>+(V24+V25)*E23</f>
        <v>0.05</v>
      </c>
      <c r="W23" s="150">
        <f>+(W24+W25)*E23</f>
        <v>4.5999999999999999E-2</v>
      </c>
      <c r="X23" s="129">
        <f>+AVERAGE(X24:X25)</f>
        <v>0.25</v>
      </c>
      <c r="Y23" s="129">
        <f>+AVERAGE(Y24:Y25)</f>
        <v>0.48749999999999999</v>
      </c>
      <c r="Z23" s="129">
        <f>+(Z24+Z25)*E23</f>
        <v>1.2500000000000001E-2</v>
      </c>
      <c r="AA23" s="129">
        <f>+(AA24+AA25)</f>
        <v>0.48</v>
      </c>
      <c r="AB23" s="117"/>
      <c r="AC23" s="106"/>
    </row>
    <row r="24" spans="1:29" ht="67.2" customHeight="1" thickBot="1" x14ac:dyDescent="0.4">
      <c r="A24" s="233"/>
      <c r="B24" s="935" t="s">
        <v>971</v>
      </c>
      <c r="C24" s="142" t="s">
        <v>1175</v>
      </c>
      <c r="D24" s="242" t="s">
        <v>1504</v>
      </c>
      <c r="E24" s="195">
        <v>0.8</v>
      </c>
      <c r="F24" s="193">
        <v>4</v>
      </c>
      <c r="G24" s="130">
        <v>1</v>
      </c>
      <c r="H24" s="130">
        <v>1</v>
      </c>
      <c r="I24" s="136">
        <f>+G24/F24</f>
        <v>0.25</v>
      </c>
      <c r="J24" s="136">
        <f t="shared" ref="J24:J25" si="21">+H24/F24</f>
        <v>0.25</v>
      </c>
      <c r="K24" s="136">
        <f>+(G24/F24)*E24</f>
        <v>0.2</v>
      </c>
      <c r="L24" s="136">
        <f t="shared" si="15"/>
        <v>0.2</v>
      </c>
      <c r="M24" s="130">
        <v>1</v>
      </c>
      <c r="N24" s="550"/>
      <c r="O24" s="550">
        <v>0.3</v>
      </c>
      <c r="P24" s="550">
        <v>0.6</v>
      </c>
      <c r="Q24" s="130"/>
      <c r="R24" s="130">
        <f t="shared" ref="R24:R25" si="22">+N24+O24+P24+Q24</f>
        <v>0.89999999999999991</v>
      </c>
      <c r="S24" s="130">
        <f t="shared" ref="S24:S25" si="23">+R24+M24</f>
        <v>1.9</v>
      </c>
      <c r="T24" s="136">
        <f>+(M24/G24)</f>
        <v>1</v>
      </c>
      <c r="U24" s="136">
        <f t="shared" ref="U24" si="24">+R24/H24</f>
        <v>0.89999999999999991</v>
      </c>
      <c r="V24" s="138">
        <f>+T24*E24</f>
        <v>0.8</v>
      </c>
      <c r="W24" s="138">
        <f t="shared" ref="W24:W25" si="25">+U24*E24</f>
        <v>0.72</v>
      </c>
      <c r="X24" s="136">
        <f>+M24/F24</f>
        <v>0.25</v>
      </c>
      <c r="Y24" s="136">
        <f t="shared" ref="Y24:Y25" si="26">+S24/F24</f>
        <v>0.47499999999999998</v>
      </c>
      <c r="Z24" s="136">
        <f>+X24*E24</f>
        <v>0.2</v>
      </c>
      <c r="AA24" s="136">
        <f>+Y24*E24</f>
        <v>0.38</v>
      </c>
      <c r="AB24" s="117"/>
      <c r="AC24" s="106"/>
    </row>
    <row r="25" spans="1:29" ht="67.2" customHeight="1" thickBot="1" x14ac:dyDescent="0.4">
      <c r="A25" s="233"/>
      <c r="B25" s="935" t="s">
        <v>972</v>
      </c>
      <c r="C25" s="935" t="s">
        <v>1176</v>
      </c>
      <c r="D25" s="242" t="s">
        <v>1504</v>
      </c>
      <c r="E25" s="239">
        <v>0.2</v>
      </c>
      <c r="F25" s="193">
        <v>4</v>
      </c>
      <c r="G25" s="130">
        <v>1</v>
      </c>
      <c r="H25" s="130">
        <v>1</v>
      </c>
      <c r="I25" s="136">
        <f>+G25/F25</f>
        <v>0.25</v>
      </c>
      <c r="J25" s="136">
        <f t="shared" si="21"/>
        <v>0.25</v>
      </c>
      <c r="K25" s="136">
        <f>+(G25/F25)*E25</f>
        <v>0.05</v>
      </c>
      <c r="L25" s="136">
        <f t="shared" si="15"/>
        <v>0.05</v>
      </c>
      <c r="M25" s="130">
        <v>1</v>
      </c>
      <c r="N25" s="550"/>
      <c r="O25" s="550">
        <v>0.5</v>
      </c>
      <c r="P25" s="550">
        <v>0.5</v>
      </c>
      <c r="Q25" s="130"/>
      <c r="R25" s="130">
        <f t="shared" si="22"/>
        <v>1</v>
      </c>
      <c r="S25" s="130">
        <f t="shared" si="23"/>
        <v>2</v>
      </c>
      <c r="T25" s="136">
        <f>+(M25/G25)</f>
        <v>1</v>
      </c>
      <c r="U25" s="136">
        <f>+R25/H25</f>
        <v>1</v>
      </c>
      <c r="V25" s="138">
        <f>+T25*E25</f>
        <v>0.2</v>
      </c>
      <c r="W25" s="138">
        <f t="shared" si="25"/>
        <v>0.2</v>
      </c>
      <c r="X25" s="136">
        <f>+M25/F25</f>
        <v>0.25</v>
      </c>
      <c r="Y25" s="136">
        <f t="shared" si="26"/>
        <v>0.5</v>
      </c>
      <c r="Z25" s="136">
        <f>+X25*E25</f>
        <v>0.05</v>
      </c>
      <c r="AA25" s="136">
        <f>+Y25*E25</f>
        <v>0.1</v>
      </c>
      <c r="AB25" s="117"/>
      <c r="AC25" s="106"/>
    </row>
    <row r="26" spans="1:29" ht="67.2" customHeight="1" thickBot="1" x14ac:dyDescent="0.4">
      <c r="A26" s="233"/>
      <c r="B26" s="991" t="s">
        <v>1754</v>
      </c>
      <c r="C26" s="977"/>
      <c r="D26" s="180"/>
      <c r="E26" s="241">
        <v>0.2</v>
      </c>
      <c r="F26" s="183"/>
      <c r="G26" s="123"/>
      <c r="H26" s="123"/>
      <c r="I26" s="129">
        <f>+AVERAGE(I27:I29)</f>
        <v>0.20186882933709449</v>
      </c>
      <c r="J26" s="129">
        <f>+AVERAGE(J27:J29)</f>
        <v>0.27736248236953459</v>
      </c>
      <c r="K26" s="129">
        <f>+K27+K28+K29</f>
        <v>0.17686882933709452</v>
      </c>
      <c r="L26" s="129">
        <f>+L27+L28+L29</f>
        <v>0.24104372355430184</v>
      </c>
      <c r="M26" s="128"/>
      <c r="N26" s="128"/>
      <c r="O26" s="128"/>
      <c r="P26" s="128"/>
      <c r="Q26" s="128"/>
      <c r="R26" s="128"/>
      <c r="S26" s="128"/>
      <c r="T26" s="150">
        <f>+AVERAGE(T27:T29)</f>
        <v>0.80886850152905199</v>
      </c>
      <c r="U26" s="150">
        <f>+AVERAGE(U27:U29)</f>
        <v>0.97699999999999998</v>
      </c>
      <c r="V26" s="150">
        <f>+(V27+V28+V29)*E26</f>
        <v>0.14177370030581041</v>
      </c>
      <c r="W26" s="150">
        <f>+(W27+W28+W29)*E26</f>
        <v>0.1754</v>
      </c>
      <c r="X26" s="129">
        <f>+AVERAGE(X27:X29)</f>
        <v>0.17248472026328163</v>
      </c>
      <c r="Y26" s="129">
        <f>+(Y27*0.33)+(Y28*0.33)</f>
        <v>0.30824668547249645</v>
      </c>
      <c r="Z26" s="129">
        <f>+(Z27+Z28+Z29)*E26</f>
        <v>2.9496944052656328E-2</v>
      </c>
      <c r="AA26" s="129">
        <f>+(AA27+AA28+AA29)</f>
        <v>0.41004043253408551</v>
      </c>
      <c r="AB26" s="117"/>
      <c r="AC26" s="106"/>
    </row>
    <row r="27" spans="1:29" ht="103.2" customHeight="1" thickBot="1" x14ac:dyDescent="0.4">
      <c r="A27" s="233"/>
      <c r="B27" s="791" t="s">
        <v>973</v>
      </c>
      <c r="C27" s="916" t="s">
        <v>1177</v>
      </c>
      <c r="D27" s="662" t="s">
        <v>974</v>
      </c>
      <c r="E27" s="205">
        <v>0.5</v>
      </c>
      <c r="F27" s="193">
        <v>10635</v>
      </c>
      <c r="G27" s="130">
        <v>1635</v>
      </c>
      <c r="H27" s="130">
        <v>3000</v>
      </c>
      <c r="I27" s="136">
        <f>+G27/F27</f>
        <v>0.15373765867418901</v>
      </c>
      <c r="J27" s="136">
        <f t="shared" ref="J27:J29" si="27">+H27/F27</f>
        <v>0.28208744710860367</v>
      </c>
      <c r="K27" s="136">
        <f>+(G27/F27)*E27</f>
        <v>7.6868829337094505E-2</v>
      </c>
      <c r="L27" s="136">
        <f t="shared" si="15"/>
        <v>0.14104372355430184</v>
      </c>
      <c r="M27" s="130">
        <v>1010</v>
      </c>
      <c r="N27" s="550">
        <v>154</v>
      </c>
      <c r="O27" s="550">
        <v>1606</v>
      </c>
      <c r="P27" s="550">
        <v>1102</v>
      </c>
      <c r="Q27" s="130"/>
      <c r="R27" s="130">
        <f t="shared" ref="R27:R29" si="28">+N27+O27+P27+Q27</f>
        <v>2862</v>
      </c>
      <c r="S27" s="130">
        <f t="shared" ref="S27:S29" si="29">+R27+M27</f>
        <v>3872</v>
      </c>
      <c r="T27" s="136">
        <f>+(M27/G27)</f>
        <v>0.61773700305810397</v>
      </c>
      <c r="U27" s="136">
        <f t="shared" ref="U27" si="30">+R27/H27</f>
        <v>0.95399999999999996</v>
      </c>
      <c r="V27" s="136">
        <f>+T27*E27</f>
        <v>0.30886850152905199</v>
      </c>
      <c r="W27" s="136">
        <f t="shared" ref="W27:W28" si="31">+U27*E27</f>
        <v>0.47699999999999998</v>
      </c>
      <c r="X27" s="136">
        <f>+M27/F27</f>
        <v>9.496944052656324E-2</v>
      </c>
      <c r="Y27" s="136">
        <f t="shared" ref="Y27:Y28" si="32">+S27/F27</f>
        <v>0.36408086506817111</v>
      </c>
      <c r="Z27" s="136">
        <f>+X27*E27</f>
        <v>4.748472026328162E-2</v>
      </c>
      <c r="AA27" s="136">
        <f>+Y27*E27</f>
        <v>0.18204043253408556</v>
      </c>
      <c r="AB27" s="117"/>
      <c r="AC27" s="106"/>
    </row>
    <row r="28" spans="1:29" ht="67.2" customHeight="1" thickBot="1" x14ac:dyDescent="0.4">
      <c r="A28" s="233"/>
      <c r="B28" s="791" t="s">
        <v>975</v>
      </c>
      <c r="C28" s="916" t="s">
        <v>1178</v>
      </c>
      <c r="D28" s="662" t="s">
        <v>974</v>
      </c>
      <c r="E28" s="205">
        <v>0.4</v>
      </c>
      <c r="F28" s="193">
        <v>600</v>
      </c>
      <c r="G28" s="130">
        <v>150</v>
      </c>
      <c r="H28" s="130">
        <v>150</v>
      </c>
      <c r="I28" s="136">
        <f>+G28/F28</f>
        <v>0.25</v>
      </c>
      <c r="J28" s="136">
        <f t="shared" si="27"/>
        <v>0.25</v>
      </c>
      <c r="K28" s="136">
        <f>+(G28/F28)*E28</f>
        <v>0.1</v>
      </c>
      <c r="L28" s="136">
        <f t="shared" si="15"/>
        <v>0.1</v>
      </c>
      <c r="M28" s="130">
        <v>150</v>
      </c>
      <c r="N28" s="550">
        <v>42</v>
      </c>
      <c r="O28" s="550">
        <v>90</v>
      </c>
      <c r="P28" s="550">
        <v>60</v>
      </c>
      <c r="Q28" s="130"/>
      <c r="R28" s="130">
        <f t="shared" si="28"/>
        <v>192</v>
      </c>
      <c r="S28" s="130">
        <f t="shared" si="29"/>
        <v>342</v>
      </c>
      <c r="T28" s="136">
        <f>+(M28/G28)</f>
        <v>1</v>
      </c>
      <c r="U28" s="136">
        <v>1</v>
      </c>
      <c r="V28" s="136">
        <f>+T28*E28</f>
        <v>0.4</v>
      </c>
      <c r="W28" s="136">
        <f t="shared" si="31"/>
        <v>0.4</v>
      </c>
      <c r="X28" s="136">
        <f>+M28/F28</f>
        <v>0.25</v>
      </c>
      <c r="Y28" s="136">
        <f t="shared" si="32"/>
        <v>0.56999999999999995</v>
      </c>
      <c r="Z28" s="136">
        <f>+X28*E28</f>
        <v>0.1</v>
      </c>
      <c r="AA28" s="136">
        <f>+Y28*E28</f>
        <v>0.22799999999999998</v>
      </c>
      <c r="AB28" s="117"/>
      <c r="AC28" s="106"/>
    </row>
    <row r="29" spans="1:29" ht="67.2" customHeight="1" thickBot="1" x14ac:dyDescent="0.4">
      <c r="A29" s="233"/>
      <c r="B29" s="791" t="s">
        <v>976</v>
      </c>
      <c r="C29" s="791" t="s">
        <v>1179</v>
      </c>
      <c r="D29" s="234" t="s">
        <v>974</v>
      </c>
      <c r="E29" s="195">
        <v>0.1</v>
      </c>
      <c r="F29" s="193">
        <v>1</v>
      </c>
      <c r="G29" s="130">
        <v>0</v>
      </c>
      <c r="H29" s="130">
        <v>0.3</v>
      </c>
      <c r="I29" s="136"/>
      <c r="J29" s="136">
        <f t="shared" si="27"/>
        <v>0.3</v>
      </c>
      <c r="K29" s="136"/>
      <c r="L29" s="136"/>
      <c r="M29" s="130"/>
      <c r="N29" s="550"/>
      <c r="O29" s="550"/>
      <c r="P29" s="130"/>
      <c r="Q29" s="130"/>
      <c r="R29" s="130">
        <f t="shared" si="28"/>
        <v>0</v>
      </c>
      <c r="S29" s="130">
        <f t="shared" si="29"/>
        <v>0</v>
      </c>
      <c r="T29" s="136"/>
      <c r="U29" s="136"/>
      <c r="V29" s="136"/>
      <c r="W29" s="136"/>
      <c r="X29" s="136"/>
      <c r="Y29" s="136"/>
      <c r="Z29" s="136"/>
      <c r="AA29" s="136">
        <f>+Y29*E29</f>
        <v>0</v>
      </c>
      <c r="AB29" s="117"/>
      <c r="AC29" s="106"/>
    </row>
    <row r="30" spans="1:29" ht="67.2" customHeight="1" thickBot="1" x14ac:dyDescent="0.4">
      <c r="A30" s="233"/>
      <c r="B30" s="991" t="s">
        <v>1687</v>
      </c>
      <c r="C30" s="977"/>
      <c r="D30" s="235"/>
      <c r="E30" s="241">
        <v>0.3</v>
      </c>
      <c r="F30" s="183"/>
      <c r="G30" s="123"/>
      <c r="H30" s="123"/>
      <c r="I30" s="129">
        <f>+AVERAGE(I31)</f>
        <v>0.06</v>
      </c>
      <c r="J30" s="129">
        <f>+AVERAGE(J31)</f>
        <v>0.06</v>
      </c>
      <c r="K30" s="129">
        <f>+K31</f>
        <v>0.06</v>
      </c>
      <c r="L30" s="129">
        <f>+L31</f>
        <v>0.06</v>
      </c>
      <c r="M30" s="128"/>
      <c r="N30" s="128"/>
      <c r="O30" s="128"/>
      <c r="P30" s="128"/>
      <c r="Q30" s="128"/>
      <c r="R30" s="128"/>
      <c r="S30" s="128"/>
      <c r="T30" s="150">
        <f>+AVERAGE(T31)</f>
        <v>1</v>
      </c>
      <c r="U30" s="150">
        <f>+AVERAGE(U31)</f>
        <v>0.86199999999999999</v>
      </c>
      <c r="V30" s="150">
        <f>+(V31)*E30</f>
        <v>0.3</v>
      </c>
      <c r="W30" s="150">
        <f>+(W31)*E30</f>
        <v>0.2586</v>
      </c>
      <c r="X30" s="129">
        <f>+AVERAGE(X31)</f>
        <v>0.15</v>
      </c>
      <c r="Y30" s="129">
        <f>+AVERAGE(Y31)</f>
        <v>0.40343999999999997</v>
      </c>
      <c r="Z30" s="129">
        <f>+(Z31)*E30</f>
        <v>4.4999999999999998E-2</v>
      </c>
      <c r="AA30" s="129">
        <f>+(AA31)</f>
        <v>0.40343999999999997</v>
      </c>
      <c r="AB30" s="117"/>
      <c r="AC30" s="106"/>
    </row>
    <row r="31" spans="1:29" ht="103.2" customHeight="1" thickBot="1" x14ac:dyDescent="0.4">
      <c r="A31" s="233"/>
      <c r="B31" s="791" t="s">
        <v>977</v>
      </c>
      <c r="C31" s="791" t="s">
        <v>1180</v>
      </c>
      <c r="D31" s="244" t="s">
        <v>968</v>
      </c>
      <c r="E31" s="205">
        <v>1</v>
      </c>
      <c r="F31" s="193">
        <v>5</v>
      </c>
      <c r="G31" s="130">
        <v>0.3</v>
      </c>
      <c r="H31" s="130">
        <v>0.3</v>
      </c>
      <c r="I31" s="136">
        <f>+G31/F31</f>
        <v>0.06</v>
      </c>
      <c r="J31" s="136">
        <f t="shared" ref="J31" si="33">+H31/F31</f>
        <v>0.06</v>
      </c>
      <c r="K31" s="136">
        <f>+(G31/F31)*E31</f>
        <v>0.06</v>
      </c>
      <c r="L31" s="136">
        <f t="shared" si="15"/>
        <v>0.06</v>
      </c>
      <c r="M31" s="130">
        <v>0.75</v>
      </c>
      <c r="N31" s="550">
        <v>0</v>
      </c>
      <c r="O31" s="550">
        <v>5.4600000000000003E-2</v>
      </c>
      <c r="P31" s="550">
        <v>0.20399999999999999</v>
      </c>
      <c r="Q31" s="130"/>
      <c r="R31" s="130">
        <f t="shared" ref="R31" si="34">+N31+O31+P31+Q31</f>
        <v>0.2586</v>
      </c>
      <c r="S31" s="130">
        <f t="shared" ref="S31" si="35">+R31+M31</f>
        <v>1.0085999999999999</v>
      </c>
      <c r="T31" s="136">
        <v>1</v>
      </c>
      <c r="U31" s="136">
        <f>+R31/H31</f>
        <v>0.86199999999999999</v>
      </c>
      <c r="V31" s="136">
        <f>+T31*E31</f>
        <v>1</v>
      </c>
      <c r="W31" s="136">
        <f t="shared" ref="W31" si="36">+U31*E31</f>
        <v>0.86199999999999999</v>
      </c>
      <c r="X31" s="136">
        <f>+M31/F31</f>
        <v>0.15</v>
      </c>
      <c r="Y31" s="136">
        <f>+(S31/F31)*2</f>
        <v>0.40343999999999997</v>
      </c>
      <c r="Z31" s="136">
        <f>+X31*E31</f>
        <v>0.15</v>
      </c>
      <c r="AA31" s="136">
        <f>+Y31*E31</f>
        <v>0.40343999999999997</v>
      </c>
      <c r="AB31" s="117"/>
      <c r="AC31" s="106"/>
    </row>
    <row r="32" spans="1:29" ht="67.2" customHeight="1" thickBot="1" x14ac:dyDescent="0.4">
      <c r="A32" s="233"/>
      <c r="B32" s="991" t="s">
        <v>1688</v>
      </c>
      <c r="C32" s="977"/>
      <c r="D32" s="235"/>
      <c r="E32" s="241">
        <v>0.05</v>
      </c>
      <c r="F32" s="183"/>
      <c r="G32" s="123"/>
      <c r="H32" s="123"/>
      <c r="I32" s="129"/>
      <c r="J32" s="129">
        <f>+AVERAGE(J33:J35)</f>
        <v>0.76666666666666661</v>
      </c>
      <c r="K32" s="129"/>
      <c r="L32" s="129">
        <f>+L33+L34+L35</f>
        <v>0.72</v>
      </c>
      <c r="M32" s="128"/>
      <c r="N32" s="128"/>
      <c r="O32" s="128"/>
      <c r="P32" s="128"/>
      <c r="Q32" s="128"/>
      <c r="R32" s="128"/>
      <c r="S32" s="128"/>
      <c r="T32" s="150"/>
      <c r="U32" s="150">
        <f>+AVERAGE(U33:U35)</f>
        <v>0.63888888888888895</v>
      </c>
      <c r="V32" s="150"/>
      <c r="W32" s="150">
        <f>+(W33+W34+W35)*E32</f>
        <v>3.2083333333333339E-2</v>
      </c>
      <c r="X32" s="129"/>
      <c r="Y32" s="129">
        <f>+AVERAGE(Y33:Y35)</f>
        <v>0.48333333333333334</v>
      </c>
      <c r="Z32" s="129"/>
      <c r="AA32" s="129">
        <f>+(AA33+AA34+AA35)</f>
        <v>0.45500000000000002</v>
      </c>
      <c r="AB32" s="117"/>
      <c r="AC32" s="106"/>
    </row>
    <row r="33" spans="1:29" ht="67.2" customHeight="1" thickBot="1" x14ac:dyDescent="0.4">
      <c r="A33" s="233"/>
      <c r="B33" s="791" t="s">
        <v>978</v>
      </c>
      <c r="C33" s="791" t="s">
        <v>1181</v>
      </c>
      <c r="D33" s="235" t="s">
        <v>516</v>
      </c>
      <c r="E33" s="195">
        <v>0.3</v>
      </c>
      <c r="F33" s="193">
        <v>1</v>
      </c>
      <c r="G33" s="130">
        <v>0</v>
      </c>
      <c r="H33" s="130">
        <v>1</v>
      </c>
      <c r="I33" s="136"/>
      <c r="J33" s="136">
        <f t="shared" ref="J33:J35" si="37">+H33/F33</f>
        <v>1</v>
      </c>
      <c r="K33" s="136"/>
      <c r="L33" s="136">
        <f t="shared" si="15"/>
        <v>0.3</v>
      </c>
      <c r="M33" s="130"/>
      <c r="N33" s="585">
        <v>0.25</v>
      </c>
      <c r="O33" s="585">
        <v>0.75</v>
      </c>
      <c r="P33" s="130">
        <v>0</v>
      </c>
      <c r="Q33" s="130"/>
      <c r="R33" s="130">
        <f t="shared" ref="R33:R35" si="38">+N33+O33+P33+Q33</f>
        <v>1</v>
      </c>
      <c r="S33" s="130">
        <f t="shared" ref="S33:S35" si="39">+R33+M33</f>
        <v>1</v>
      </c>
      <c r="T33" s="136"/>
      <c r="U33" s="152">
        <f t="shared" ref="U33:U35" si="40">+R33/H33</f>
        <v>1</v>
      </c>
      <c r="V33" s="152"/>
      <c r="W33" s="152">
        <f t="shared" ref="W33:W35" si="41">+U33*E33</f>
        <v>0.3</v>
      </c>
      <c r="X33" s="152"/>
      <c r="Y33" s="152">
        <f t="shared" ref="Y33:Y35" si="42">+S33/F33</f>
        <v>1</v>
      </c>
      <c r="Z33" s="152"/>
      <c r="AA33" s="152">
        <f>+Y33*E33</f>
        <v>0.3</v>
      </c>
      <c r="AB33" s="117"/>
      <c r="AC33" s="106"/>
    </row>
    <row r="34" spans="1:29" ht="67.2" customHeight="1" thickBot="1" x14ac:dyDescent="0.4">
      <c r="A34" s="233"/>
      <c r="B34" s="782" t="s">
        <v>979</v>
      </c>
      <c r="C34" s="782" t="s">
        <v>1182</v>
      </c>
      <c r="D34" s="235" t="s">
        <v>516</v>
      </c>
      <c r="E34" s="195">
        <v>0.3</v>
      </c>
      <c r="F34" s="193">
        <v>1</v>
      </c>
      <c r="G34" s="130">
        <v>0</v>
      </c>
      <c r="H34" s="130">
        <v>1</v>
      </c>
      <c r="I34" s="136"/>
      <c r="J34" s="136">
        <f t="shared" si="37"/>
        <v>1</v>
      </c>
      <c r="K34" s="136"/>
      <c r="L34" s="136">
        <f t="shared" si="15"/>
        <v>0.3</v>
      </c>
      <c r="M34" s="130"/>
      <c r="N34" s="585">
        <v>0.25</v>
      </c>
      <c r="O34" s="585"/>
      <c r="P34" s="130">
        <v>0</v>
      </c>
      <c r="Q34" s="130"/>
      <c r="R34" s="130">
        <f t="shared" si="38"/>
        <v>0.25</v>
      </c>
      <c r="S34" s="130">
        <f t="shared" si="39"/>
        <v>0.25</v>
      </c>
      <c r="T34" s="136"/>
      <c r="U34" s="152">
        <f t="shared" si="40"/>
        <v>0.25</v>
      </c>
      <c r="V34" s="152"/>
      <c r="W34" s="152">
        <f t="shared" si="41"/>
        <v>7.4999999999999997E-2</v>
      </c>
      <c r="X34" s="152"/>
      <c r="Y34" s="152">
        <f t="shared" si="42"/>
        <v>0.25</v>
      </c>
      <c r="Z34" s="152"/>
      <c r="AA34" s="152">
        <f>+Y34*E34</f>
        <v>7.4999999999999997E-2</v>
      </c>
      <c r="AB34" s="117"/>
      <c r="AC34" s="106"/>
    </row>
    <row r="35" spans="1:29" ht="131.4" customHeight="1" thickBot="1" x14ac:dyDescent="0.4">
      <c r="A35" s="233"/>
      <c r="B35" s="782" t="s">
        <v>980</v>
      </c>
      <c r="C35" s="782" t="s">
        <v>1183</v>
      </c>
      <c r="D35" s="235" t="s">
        <v>516</v>
      </c>
      <c r="E35" s="195">
        <v>0.4</v>
      </c>
      <c r="F35" s="193">
        <v>1</v>
      </c>
      <c r="G35" s="130">
        <v>0</v>
      </c>
      <c r="H35" s="130">
        <v>0.3</v>
      </c>
      <c r="I35" s="136"/>
      <c r="J35" s="136">
        <f t="shared" si="37"/>
        <v>0.3</v>
      </c>
      <c r="K35" s="136"/>
      <c r="L35" s="136">
        <f t="shared" si="15"/>
        <v>0.12</v>
      </c>
      <c r="M35" s="130"/>
      <c r="N35" s="550">
        <v>0</v>
      </c>
      <c r="O35" s="550">
        <v>0.2</v>
      </c>
      <c r="P35" s="130">
        <v>0</v>
      </c>
      <c r="Q35" s="130"/>
      <c r="R35" s="130">
        <f t="shared" si="38"/>
        <v>0.2</v>
      </c>
      <c r="S35" s="130">
        <f t="shared" si="39"/>
        <v>0.2</v>
      </c>
      <c r="T35" s="136"/>
      <c r="U35" s="152">
        <f t="shared" si="40"/>
        <v>0.66666666666666674</v>
      </c>
      <c r="V35" s="152"/>
      <c r="W35" s="152">
        <f t="shared" si="41"/>
        <v>0.26666666666666672</v>
      </c>
      <c r="X35" s="152"/>
      <c r="Y35" s="152">
        <f t="shared" si="42"/>
        <v>0.2</v>
      </c>
      <c r="Z35" s="152"/>
      <c r="AA35" s="152">
        <f>+Y35*E35</f>
        <v>8.0000000000000016E-2</v>
      </c>
      <c r="AB35" s="117"/>
      <c r="AC35" s="106"/>
    </row>
    <row r="36" spans="1:29" ht="67.2" customHeight="1" thickBot="1" x14ac:dyDescent="0.4">
      <c r="A36" s="233"/>
      <c r="B36" s="991" t="s">
        <v>1689</v>
      </c>
      <c r="C36" s="977"/>
      <c r="D36" s="235"/>
      <c r="E36" s="199">
        <v>0.05</v>
      </c>
      <c r="F36" s="193"/>
      <c r="G36" s="123"/>
      <c r="H36" s="123"/>
      <c r="I36" s="129">
        <f>+AVERAGE(I37:I39)</f>
        <v>0.22500000000000001</v>
      </c>
      <c r="J36" s="129">
        <f>+AVERAGE(J37:J39)</f>
        <v>0.33</v>
      </c>
      <c r="K36" s="129">
        <f>+K37+K38+K39</f>
        <v>0.16250000000000001</v>
      </c>
      <c r="L36" s="129">
        <f>+L37+L38+L39</f>
        <v>0.34750000000000003</v>
      </c>
      <c r="M36" s="128"/>
      <c r="N36" s="128"/>
      <c r="O36" s="128"/>
      <c r="P36" s="128"/>
      <c r="Q36" s="128"/>
      <c r="R36" s="128"/>
      <c r="S36" s="128"/>
      <c r="T36" s="150">
        <f>+AVERAGE(T37:T39)</f>
        <v>0.75</v>
      </c>
      <c r="U36" s="150">
        <f>+AVERAGE(U37:U39)</f>
        <v>0.6470588235294118</v>
      </c>
      <c r="V36" s="150">
        <f>+(V37+V38+V39)*E36</f>
        <v>2.5000000000000001E-2</v>
      </c>
      <c r="W36" s="150">
        <f>+(W37+W38+W39)*E36</f>
        <v>3.426470588235294E-2</v>
      </c>
      <c r="X36" s="129">
        <f>+AVERAGE(X37:X39)</f>
        <v>0.17499999999999999</v>
      </c>
      <c r="Y36" s="129">
        <f>+AVERAGE(Y37:Y39)</f>
        <v>0.33166666666666667</v>
      </c>
      <c r="Z36" s="129">
        <f>+(Z37+Z38+Z39)*E36</f>
        <v>5.6250000000000007E-3</v>
      </c>
      <c r="AA36" s="129">
        <f>+(AA37+AA38+AA39)</f>
        <v>0.35375000000000001</v>
      </c>
      <c r="AB36" s="117"/>
      <c r="AC36" s="106"/>
    </row>
    <row r="37" spans="1:29" ht="67.2" customHeight="1" thickBot="1" x14ac:dyDescent="0.4">
      <c r="A37" s="233"/>
      <c r="B37" s="791" t="s">
        <v>981</v>
      </c>
      <c r="C37" s="791" t="s">
        <v>1184</v>
      </c>
      <c r="D37" s="235" t="s">
        <v>516</v>
      </c>
      <c r="E37" s="195">
        <v>0.5</v>
      </c>
      <c r="F37" s="193">
        <v>5</v>
      </c>
      <c r="G37" s="130">
        <v>1</v>
      </c>
      <c r="H37" s="130">
        <v>2</v>
      </c>
      <c r="I37" s="136">
        <f>+G37/F37</f>
        <v>0.2</v>
      </c>
      <c r="J37" s="136">
        <f t="shared" ref="J37:J39" si="43">+H37/F37</f>
        <v>0.4</v>
      </c>
      <c r="K37" s="136">
        <f>+(G37/F37)*E37</f>
        <v>0.1</v>
      </c>
      <c r="L37" s="136">
        <f t="shared" si="15"/>
        <v>0.2</v>
      </c>
      <c r="M37" s="130">
        <v>0.5</v>
      </c>
      <c r="N37" s="550">
        <v>0.2</v>
      </c>
      <c r="O37" s="550">
        <v>0.97</v>
      </c>
      <c r="P37" s="550" t="s">
        <v>1905</v>
      </c>
      <c r="Q37" s="130"/>
      <c r="R37" s="164">
        <f>+N37+O37+P37+Q37</f>
        <v>1.5999999999999999</v>
      </c>
      <c r="S37" s="130">
        <f t="shared" ref="S37:S39" si="44">+R37+M37</f>
        <v>2.0999999999999996</v>
      </c>
      <c r="T37" s="136">
        <f>+(M37/G37)</f>
        <v>0.5</v>
      </c>
      <c r="U37" s="152">
        <f t="shared" ref="U37:U39" si="45">+R37/H37</f>
        <v>0.79999999999999993</v>
      </c>
      <c r="V37" s="152">
        <f>+T37*E37</f>
        <v>0.25</v>
      </c>
      <c r="W37" s="152">
        <f t="shared" ref="W37:W39" si="46">+U37*E37</f>
        <v>0.39999999999999997</v>
      </c>
      <c r="X37" s="152">
        <f>+M37/F37</f>
        <v>0.1</v>
      </c>
      <c r="Y37" s="152">
        <f t="shared" ref="Y37:Y39" si="47">+S37/F37</f>
        <v>0.41999999999999993</v>
      </c>
      <c r="Z37" s="152">
        <f>+X37*E37</f>
        <v>0.05</v>
      </c>
      <c r="AA37" s="152">
        <f>+Y37*E37</f>
        <v>0.20999999999999996</v>
      </c>
      <c r="AB37" s="117"/>
      <c r="AC37" s="106"/>
    </row>
    <row r="38" spans="1:29" ht="67.2" customHeight="1" thickBot="1" x14ac:dyDescent="0.4">
      <c r="A38" s="233"/>
      <c r="B38" s="791" t="s">
        <v>982</v>
      </c>
      <c r="C38" s="791" t="s">
        <v>1185</v>
      </c>
      <c r="D38" s="235" t="s">
        <v>516</v>
      </c>
      <c r="E38" s="195">
        <v>0.25</v>
      </c>
      <c r="F38" s="193">
        <v>2</v>
      </c>
      <c r="G38" s="130">
        <v>0.5</v>
      </c>
      <c r="H38" s="130">
        <v>0.5</v>
      </c>
      <c r="I38" s="136">
        <f>+G38/F38</f>
        <v>0.25</v>
      </c>
      <c r="J38" s="136">
        <f t="shared" si="43"/>
        <v>0.25</v>
      </c>
      <c r="K38" s="136">
        <f>+(G38/F38)*E38</f>
        <v>6.25E-2</v>
      </c>
      <c r="L38" s="136">
        <f t="shared" si="15"/>
        <v>6.25E-2</v>
      </c>
      <c r="M38" s="130">
        <v>0.5</v>
      </c>
      <c r="N38" s="550">
        <v>0</v>
      </c>
      <c r="O38" s="550">
        <v>0.14099999999999999</v>
      </c>
      <c r="P38" s="550">
        <v>0.20899999999999999</v>
      </c>
      <c r="Q38" s="130"/>
      <c r="R38" s="130">
        <f t="shared" ref="R38:R39" si="48">+N38+O38+P38+Q38</f>
        <v>0.35</v>
      </c>
      <c r="S38" s="130">
        <f t="shared" si="44"/>
        <v>0.85</v>
      </c>
      <c r="T38" s="136">
        <f>+(M38/G38)</f>
        <v>1</v>
      </c>
      <c r="U38" s="152">
        <f t="shared" si="45"/>
        <v>0.7</v>
      </c>
      <c r="V38" s="152">
        <f>+T38*E38</f>
        <v>0.25</v>
      </c>
      <c r="W38" s="152">
        <f t="shared" si="46"/>
        <v>0.17499999999999999</v>
      </c>
      <c r="X38" s="152">
        <f>+M38/F38</f>
        <v>0.25</v>
      </c>
      <c r="Y38" s="152">
        <f t="shared" si="47"/>
        <v>0.42499999999999999</v>
      </c>
      <c r="Z38" s="152">
        <f>+X38*E38</f>
        <v>6.25E-2</v>
      </c>
      <c r="AA38" s="152">
        <f>+Y38*E38</f>
        <v>0.10625</v>
      </c>
      <c r="AB38" s="117"/>
      <c r="AC38" s="106"/>
    </row>
    <row r="39" spans="1:29" ht="93.6" customHeight="1" thickBot="1" x14ac:dyDescent="0.4">
      <c r="A39" s="233"/>
      <c r="B39" s="791" t="s">
        <v>983</v>
      </c>
      <c r="C39" s="791" t="s">
        <v>1186</v>
      </c>
      <c r="D39" s="235" t="s">
        <v>516</v>
      </c>
      <c r="E39" s="195">
        <v>0.25</v>
      </c>
      <c r="F39" s="193">
        <v>1</v>
      </c>
      <c r="G39" s="130">
        <v>0</v>
      </c>
      <c r="H39" s="130">
        <v>0.34</v>
      </c>
      <c r="I39" s="136"/>
      <c r="J39" s="136">
        <f t="shared" si="43"/>
        <v>0.34</v>
      </c>
      <c r="K39" s="136"/>
      <c r="L39" s="136">
        <f t="shared" si="15"/>
        <v>8.5000000000000006E-2</v>
      </c>
      <c r="M39" s="130"/>
      <c r="N39" s="550">
        <v>0</v>
      </c>
      <c r="O39" s="550">
        <v>7.0000000000000007E-2</v>
      </c>
      <c r="P39" s="550">
        <v>0.08</v>
      </c>
      <c r="Q39" s="130"/>
      <c r="R39" s="130">
        <f t="shared" si="48"/>
        <v>0.15000000000000002</v>
      </c>
      <c r="S39" s="130">
        <f t="shared" si="44"/>
        <v>0.15000000000000002</v>
      </c>
      <c r="T39" s="136"/>
      <c r="U39" s="152">
        <f t="shared" si="45"/>
        <v>0.44117647058823534</v>
      </c>
      <c r="V39" s="152"/>
      <c r="W39" s="152">
        <f t="shared" si="46"/>
        <v>0.11029411764705883</v>
      </c>
      <c r="X39" s="152"/>
      <c r="Y39" s="152">
        <f t="shared" si="47"/>
        <v>0.15000000000000002</v>
      </c>
      <c r="Z39" s="152"/>
      <c r="AA39" s="152">
        <f>+Y39*E39</f>
        <v>3.7500000000000006E-2</v>
      </c>
      <c r="AB39" s="117"/>
      <c r="AC39" s="106"/>
    </row>
    <row r="40" spans="1:29" ht="67.2" customHeight="1" thickBot="1" x14ac:dyDescent="0.4">
      <c r="A40" s="233"/>
      <c r="B40" s="991" t="s">
        <v>1690</v>
      </c>
      <c r="C40" s="977"/>
      <c r="D40" s="235"/>
      <c r="E40" s="199">
        <v>0.05</v>
      </c>
      <c r="F40" s="183"/>
      <c r="G40" s="123"/>
      <c r="H40" s="123"/>
      <c r="I40" s="129"/>
      <c r="J40" s="129">
        <f>+AVERAGE(J41:J42)</f>
        <v>0</v>
      </c>
      <c r="K40" s="129"/>
      <c r="L40" s="129">
        <f>+L41+L42</f>
        <v>0</v>
      </c>
      <c r="M40" s="128"/>
      <c r="N40" s="128"/>
      <c r="O40" s="128"/>
      <c r="P40" s="128"/>
      <c r="Q40" s="128"/>
      <c r="R40" s="128"/>
      <c r="S40" s="128"/>
      <c r="T40" s="150"/>
      <c r="U40" s="150"/>
      <c r="V40" s="150"/>
      <c r="W40" s="150">
        <f>+(W41+W42)*E40</f>
        <v>0</v>
      </c>
      <c r="X40" s="129"/>
      <c r="Y40" s="129">
        <f>+AVERAGE(Y41:Y42)</f>
        <v>0.05</v>
      </c>
      <c r="Z40" s="129"/>
      <c r="AA40" s="129">
        <f>+(AA41+AA42)</f>
        <v>0.05</v>
      </c>
      <c r="AB40" s="117"/>
      <c r="AC40" s="106"/>
    </row>
    <row r="41" spans="1:29" ht="103.2" customHeight="1" thickBot="1" x14ac:dyDescent="0.4">
      <c r="A41" s="233"/>
      <c r="B41" s="791" t="s">
        <v>984</v>
      </c>
      <c r="C41" s="791" t="s">
        <v>1187</v>
      </c>
      <c r="D41" s="235" t="s">
        <v>1503</v>
      </c>
      <c r="E41" s="195">
        <v>0.5</v>
      </c>
      <c r="F41" s="193">
        <v>1</v>
      </c>
      <c r="G41" s="130">
        <v>0</v>
      </c>
      <c r="H41" s="130">
        <v>0</v>
      </c>
      <c r="I41" s="136"/>
      <c r="J41" s="136">
        <f t="shared" ref="J41:J42" si="49">+H41/F41</f>
        <v>0</v>
      </c>
      <c r="K41" s="136"/>
      <c r="L41" s="136">
        <f t="shared" si="15"/>
        <v>0</v>
      </c>
      <c r="M41" s="130"/>
      <c r="N41" s="550"/>
      <c r="O41" s="550">
        <v>0.1</v>
      </c>
      <c r="P41" s="550">
        <v>0</v>
      </c>
      <c r="Q41" s="130"/>
      <c r="R41" s="130">
        <f t="shared" ref="R41:R42" si="50">+N41+O41+P41+Q41</f>
        <v>0.1</v>
      </c>
      <c r="S41" s="130">
        <f t="shared" ref="S41:S42" si="51">+R41+M41</f>
        <v>0.1</v>
      </c>
      <c r="T41" s="136"/>
      <c r="U41" s="136"/>
      <c r="V41" s="136"/>
      <c r="W41" s="152">
        <f t="shared" ref="W41:W42" si="52">+U41*E41</f>
        <v>0</v>
      </c>
      <c r="X41" s="152"/>
      <c r="Y41" s="152">
        <f t="shared" ref="Y41:Y42" si="53">+S41/F41</f>
        <v>0.1</v>
      </c>
      <c r="Z41" s="152"/>
      <c r="AA41" s="152">
        <f>+Y41*E41</f>
        <v>0.05</v>
      </c>
      <c r="AB41" s="117"/>
      <c r="AC41" s="106"/>
    </row>
    <row r="42" spans="1:29" ht="85.2" customHeight="1" thickBot="1" x14ac:dyDescent="0.4">
      <c r="A42" s="233"/>
      <c r="B42" s="791" t="s">
        <v>985</v>
      </c>
      <c r="C42" s="791" t="s">
        <v>1188</v>
      </c>
      <c r="D42" s="235" t="s">
        <v>1503</v>
      </c>
      <c r="E42" s="195">
        <v>0.5</v>
      </c>
      <c r="F42" s="193">
        <v>1</v>
      </c>
      <c r="G42" s="130">
        <v>0</v>
      </c>
      <c r="H42" s="130">
        <v>0</v>
      </c>
      <c r="I42" s="136"/>
      <c r="J42" s="136">
        <f t="shared" si="49"/>
        <v>0</v>
      </c>
      <c r="K42" s="136"/>
      <c r="L42" s="136">
        <f t="shared" si="15"/>
        <v>0</v>
      </c>
      <c r="M42" s="130"/>
      <c r="N42" s="550"/>
      <c r="O42" s="550"/>
      <c r="P42" s="550">
        <v>0</v>
      </c>
      <c r="Q42" s="130"/>
      <c r="R42" s="130">
        <f t="shared" si="50"/>
        <v>0</v>
      </c>
      <c r="S42" s="130">
        <f t="shared" si="51"/>
        <v>0</v>
      </c>
      <c r="T42" s="136"/>
      <c r="U42" s="136"/>
      <c r="V42" s="136"/>
      <c r="W42" s="152">
        <f t="shared" si="52"/>
        <v>0</v>
      </c>
      <c r="X42" s="152"/>
      <c r="Y42" s="152">
        <f t="shared" si="53"/>
        <v>0</v>
      </c>
      <c r="Z42" s="152"/>
      <c r="AA42" s="152">
        <f>+Y42*E42</f>
        <v>0</v>
      </c>
      <c r="AB42" s="117"/>
      <c r="AC42" s="106"/>
    </row>
    <row r="43" spans="1:29" ht="67.2" customHeight="1" thickBot="1" x14ac:dyDescent="0.4">
      <c r="A43" s="233"/>
      <c r="B43" s="991" t="s">
        <v>1691</v>
      </c>
      <c r="C43" s="977"/>
      <c r="D43" s="235"/>
      <c r="E43" s="199">
        <v>0.15</v>
      </c>
      <c r="F43" s="183"/>
      <c r="G43" s="123"/>
      <c r="H43" s="123"/>
      <c r="I43" s="129">
        <f>+AVERAGE(I44:I47)</f>
        <v>0.16773431223397892</v>
      </c>
      <c r="J43" s="129">
        <f>+AVERAGE(J44:J47)</f>
        <v>0.21955073417548415</v>
      </c>
      <c r="K43" s="129">
        <f>+K44+K45+K46+K47</f>
        <v>8.4187449787183122E-2</v>
      </c>
      <c r="L43" s="129">
        <f>+L44+L45+L46+L47</f>
        <v>0.21794784134744136</v>
      </c>
      <c r="M43" s="128"/>
      <c r="N43" s="128"/>
      <c r="O43" s="128"/>
      <c r="P43" s="128"/>
      <c r="Q43" s="128"/>
      <c r="R43" s="128"/>
      <c r="S43" s="128"/>
      <c r="T43" s="150">
        <f>+AVERAGE(T44:T47)</f>
        <v>1</v>
      </c>
      <c r="U43" s="150">
        <f>+AVERAGE(U44:U47)</f>
        <v>0.52879999999999994</v>
      </c>
      <c r="V43" s="150">
        <f>+(V44+V45+V46+V47)*E43</f>
        <v>9.0000000000000011E-2</v>
      </c>
      <c r="W43" s="150">
        <f>+(W44+W45+W46+W47)*E43</f>
        <v>8.836200000000001E-2</v>
      </c>
      <c r="X43" s="129">
        <f>+AVERAGE(X44:X47)</f>
        <v>0.17321025512854482</v>
      </c>
      <c r="Y43" s="129">
        <f>+X43+((Y45-X45)/4)+((Y46-X46)/4)+(Y44/4)+(Y47/4)</f>
        <v>0.30068431540101875</v>
      </c>
      <c r="Z43" s="129">
        <f>+(Z44+Z45+Z46+Z47)*E43</f>
        <v>1.3285230615425379E-2</v>
      </c>
      <c r="AA43" s="129">
        <f>+(AA44+AA45+AA46+AA47)</f>
        <v>0.2235267005387942</v>
      </c>
      <c r="AB43" s="117"/>
      <c r="AC43" s="106"/>
    </row>
    <row r="44" spans="1:29" ht="95.4" customHeight="1" thickBot="1" x14ac:dyDescent="0.4">
      <c r="A44" s="233"/>
      <c r="B44" s="935" t="s">
        <v>986</v>
      </c>
      <c r="C44" s="935" t="s">
        <v>1189</v>
      </c>
      <c r="D44" s="235" t="s">
        <v>48</v>
      </c>
      <c r="E44" s="195">
        <v>0.3</v>
      </c>
      <c r="F44" s="193">
        <v>3</v>
      </c>
      <c r="G44" s="130">
        <v>0</v>
      </c>
      <c r="H44" s="130">
        <v>1</v>
      </c>
      <c r="I44" s="136"/>
      <c r="J44" s="136">
        <f t="shared" ref="J44:J47" si="54">+H44/F44</f>
        <v>0.33333333333333331</v>
      </c>
      <c r="K44" s="136"/>
      <c r="L44" s="136">
        <f t="shared" si="15"/>
        <v>9.9999999999999992E-2</v>
      </c>
      <c r="M44" s="130"/>
      <c r="N44" s="550">
        <v>0</v>
      </c>
      <c r="O44" s="550">
        <v>0</v>
      </c>
      <c r="P44" s="550">
        <v>0.56999999999999995</v>
      </c>
      <c r="Q44" s="130"/>
      <c r="R44" s="130">
        <f t="shared" ref="R44:R47" si="55">+N44+O44+P44+Q44</f>
        <v>0.56999999999999995</v>
      </c>
      <c r="S44" s="130">
        <f t="shared" ref="S44:S47" si="56">+R44+M44</f>
        <v>0.56999999999999995</v>
      </c>
      <c r="T44" s="136"/>
      <c r="U44" s="136">
        <f t="shared" ref="U44:U47" si="57">+R44/H44</f>
        <v>0.56999999999999995</v>
      </c>
      <c r="V44" s="136"/>
      <c r="W44" s="136">
        <f t="shared" ref="W44:W46" si="58">+U44*E44</f>
        <v>0.17099999999999999</v>
      </c>
      <c r="X44" s="136"/>
      <c r="Y44" s="136">
        <f t="shared" ref="Y44:Y47" si="59">+S44/F44</f>
        <v>0.18999999999999997</v>
      </c>
      <c r="Z44" s="136"/>
      <c r="AA44" s="136">
        <f>+Y44*E44</f>
        <v>5.6999999999999988E-2</v>
      </c>
      <c r="AB44" s="117"/>
      <c r="AC44" s="106"/>
    </row>
    <row r="45" spans="1:29" ht="67.2" customHeight="1" thickBot="1" x14ac:dyDescent="0.4">
      <c r="A45" s="233"/>
      <c r="B45" s="935" t="s">
        <v>987</v>
      </c>
      <c r="C45" s="935" t="s">
        <v>1190</v>
      </c>
      <c r="D45" s="235" t="s">
        <v>48</v>
      </c>
      <c r="E45" s="195">
        <v>0.2</v>
      </c>
      <c r="F45" s="193">
        <v>1</v>
      </c>
      <c r="G45" s="130">
        <v>0.25</v>
      </c>
      <c r="H45" s="130">
        <v>0.25</v>
      </c>
      <c r="I45" s="136">
        <f>+G45/F45</f>
        <v>0.25</v>
      </c>
      <c r="J45" s="136">
        <f t="shared" si="54"/>
        <v>0.25</v>
      </c>
      <c r="K45" s="136">
        <f>+(G45/F45)*E45</f>
        <v>0.05</v>
      </c>
      <c r="L45" s="136">
        <f t="shared" si="15"/>
        <v>0.05</v>
      </c>
      <c r="M45" s="550">
        <v>0.25</v>
      </c>
      <c r="N45" s="550">
        <v>0.04</v>
      </c>
      <c r="O45" s="550">
        <v>0.21</v>
      </c>
      <c r="P45" s="550">
        <v>0</v>
      </c>
      <c r="Q45" s="130"/>
      <c r="R45" s="130">
        <f t="shared" si="55"/>
        <v>0.25</v>
      </c>
      <c r="S45" s="130">
        <f t="shared" si="56"/>
        <v>0.5</v>
      </c>
      <c r="T45" s="136">
        <f>+(M45/G45)</f>
        <v>1</v>
      </c>
      <c r="U45" s="136">
        <f t="shared" si="57"/>
        <v>1</v>
      </c>
      <c r="V45" s="136">
        <f>+T45*E45</f>
        <v>0.2</v>
      </c>
      <c r="W45" s="136">
        <f t="shared" si="58"/>
        <v>0.2</v>
      </c>
      <c r="X45" s="136">
        <f>+M45/F45</f>
        <v>0.25</v>
      </c>
      <c r="Y45" s="136">
        <f t="shared" si="59"/>
        <v>0.5</v>
      </c>
      <c r="Z45" s="136">
        <f>+X45*E45</f>
        <v>0.05</v>
      </c>
      <c r="AA45" s="136">
        <f>+Y45*E45</f>
        <v>0.1</v>
      </c>
      <c r="AB45" s="117"/>
      <c r="AC45" s="106"/>
    </row>
    <row r="46" spans="1:29" ht="67.2" customHeight="1" thickBot="1" x14ac:dyDescent="0.4">
      <c r="A46" s="233"/>
      <c r="B46" s="935" t="s">
        <v>988</v>
      </c>
      <c r="C46" s="935" t="s">
        <v>1191</v>
      </c>
      <c r="D46" s="235" t="s">
        <v>48</v>
      </c>
      <c r="E46" s="195">
        <v>0.4</v>
      </c>
      <c r="F46" s="243">
        <v>117002000000</v>
      </c>
      <c r="G46" s="216">
        <v>10000000000</v>
      </c>
      <c r="H46" s="216">
        <v>15000000000</v>
      </c>
      <c r="I46" s="136">
        <f>+G46/F46</f>
        <v>8.5468624467957818E-2</v>
      </c>
      <c r="J46" s="136">
        <f t="shared" si="54"/>
        <v>0.12820293670193672</v>
      </c>
      <c r="K46" s="136">
        <f>+(G46/F46)*E46</f>
        <v>3.4187449787183126E-2</v>
      </c>
      <c r="L46" s="136">
        <f t="shared" si="15"/>
        <v>5.1281174680774692E-2</v>
      </c>
      <c r="M46" s="553">
        <v>11281392541.1</v>
      </c>
      <c r="N46" s="553">
        <v>1551000000</v>
      </c>
      <c r="O46" s="553">
        <v>4063000000</v>
      </c>
      <c r="P46" s="553">
        <v>2564000000</v>
      </c>
      <c r="Q46" s="216"/>
      <c r="R46" s="216">
        <f t="shared" si="55"/>
        <v>8178000000</v>
      </c>
      <c r="S46" s="216">
        <f t="shared" si="56"/>
        <v>19459392541.099998</v>
      </c>
      <c r="T46" s="152">
        <v>1</v>
      </c>
      <c r="U46" s="152">
        <f t="shared" si="57"/>
        <v>0.54520000000000002</v>
      </c>
      <c r="V46" s="136">
        <f>+T46*E46</f>
        <v>0.4</v>
      </c>
      <c r="W46" s="136">
        <f t="shared" si="58"/>
        <v>0.21808000000000002</v>
      </c>
      <c r="X46" s="152">
        <f>+M46/F46</f>
        <v>9.6420510257089628E-2</v>
      </c>
      <c r="Y46" s="152">
        <f t="shared" si="59"/>
        <v>0.16631675134698551</v>
      </c>
      <c r="Z46" s="136">
        <f>+X46*E46</f>
        <v>3.8568204102835853E-2</v>
      </c>
      <c r="AA46" s="136">
        <f>+Y46*E46</f>
        <v>6.6526700538794212E-2</v>
      </c>
      <c r="AB46" s="117"/>
      <c r="AC46" s="106"/>
    </row>
    <row r="47" spans="1:29" ht="93" customHeight="1" thickBot="1" x14ac:dyDescent="0.4">
      <c r="A47" s="233"/>
      <c r="B47" s="935" t="s">
        <v>989</v>
      </c>
      <c r="C47" s="935" t="s">
        <v>1192</v>
      </c>
      <c r="D47" s="235" t="s">
        <v>48</v>
      </c>
      <c r="E47" s="195">
        <v>0.1</v>
      </c>
      <c r="F47" s="193">
        <v>30</v>
      </c>
      <c r="G47" s="130">
        <v>0</v>
      </c>
      <c r="H47" s="130">
        <v>5</v>
      </c>
      <c r="I47" s="136"/>
      <c r="J47" s="136">
        <f t="shared" si="54"/>
        <v>0.16666666666666666</v>
      </c>
      <c r="K47" s="136"/>
      <c r="L47" s="136">
        <f t="shared" si="15"/>
        <v>1.6666666666666666E-2</v>
      </c>
      <c r="M47" s="130"/>
      <c r="N47" s="550">
        <v>0</v>
      </c>
      <c r="O47" s="550">
        <v>0</v>
      </c>
      <c r="P47" s="130"/>
      <c r="Q47" s="130"/>
      <c r="R47" s="130">
        <f t="shared" si="55"/>
        <v>0</v>
      </c>
      <c r="S47" s="130">
        <f t="shared" si="56"/>
        <v>0</v>
      </c>
      <c r="T47" s="136"/>
      <c r="U47" s="136">
        <f t="shared" si="57"/>
        <v>0</v>
      </c>
      <c r="V47" s="136"/>
      <c r="W47" s="136"/>
      <c r="X47" s="136"/>
      <c r="Y47" s="152">
        <f t="shared" si="59"/>
        <v>0</v>
      </c>
      <c r="Z47" s="136"/>
      <c r="AA47" s="136">
        <f>+Y47*E47</f>
        <v>0</v>
      </c>
      <c r="AB47" s="117"/>
      <c r="AC47" s="106"/>
    </row>
    <row r="48" spans="1:29" ht="89.4" customHeight="1" thickBot="1" x14ac:dyDescent="0.4">
      <c r="A48" s="233"/>
      <c r="B48" s="985" t="s">
        <v>1755</v>
      </c>
      <c r="C48" s="977"/>
      <c r="D48" s="235"/>
      <c r="E48" s="201">
        <v>0.2</v>
      </c>
      <c r="F48" s="236">
        <f>+E48*V48</f>
        <v>0.18625993100110649</v>
      </c>
      <c r="G48" s="123"/>
      <c r="H48" s="236">
        <f>+E48*W48</f>
        <v>0.13649107254498019</v>
      </c>
      <c r="I48" s="121">
        <f>+(I49+I55)</f>
        <v>0.22689134534516447</v>
      </c>
      <c r="J48" s="121">
        <f>+(J49+J55)/2</f>
        <v>0.2540275605253442</v>
      </c>
      <c r="K48" s="122">
        <f>+(K49+K55)</f>
        <v>0.22571301967260979</v>
      </c>
      <c r="L48" s="122">
        <f>+(L49+L55)/2</f>
        <v>0.25432469935214241</v>
      </c>
      <c r="M48" s="123"/>
      <c r="N48" s="123"/>
      <c r="O48" s="123"/>
      <c r="P48" s="123"/>
      <c r="Q48" s="123"/>
      <c r="R48" s="123"/>
      <c r="S48" s="123"/>
      <c r="T48" s="121">
        <f>+(T49+T55)</f>
        <v>0.99015771316080659</v>
      </c>
      <c r="U48" s="121">
        <f>+(U49+U55)/2</f>
        <v>0.88236912624313713</v>
      </c>
      <c r="V48" s="122">
        <f>+V49+V55</f>
        <v>0.93129965500553247</v>
      </c>
      <c r="W48" s="122">
        <f>+W49+W55</f>
        <v>0.68245536272490093</v>
      </c>
      <c r="X48" s="121">
        <f>(X49+X55)</f>
        <v>0.25580038172039926</v>
      </c>
      <c r="Y48" s="121">
        <f>(Y49+Y55)/2</f>
        <v>0.7334709148300157</v>
      </c>
      <c r="Z48" s="237">
        <f>(Z49+Z55)</f>
        <v>0.22738216072471779</v>
      </c>
      <c r="AA48" s="237">
        <f>(AA49*E49+AA55*E55)</f>
        <v>0.44700346105403205</v>
      </c>
      <c r="AB48" s="117"/>
      <c r="AC48" s="106"/>
    </row>
    <row r="49" spans="1:29" ht="67.2" customHeight="1" thickBot="1" x14ac:dyDescent="0.4">
      <c r="A49" s="233"/>
      <c r="B49" s="991" t="s">
        <v>1692</v>
      </c>
      <c r="C49" s="977"/>
      <c r="D49" s="235"/>
      <c r="E49" s="199">
        <v>0.95</v>
      </c>
      <c r="F49" s="183"/>
      <c r="G49" s="123"/>
      <c r="H49" s="123"/>
      <c r="I49" s="129">
        <f>+AVERAGE(I50:I54)</f>
        <v>0.22689134534516447</v>
      </c>
      <c r="J49" s="129">
        <f>+AVERAGE(J50:J54)</f>
        <v>0.2580551210506884</v>
      </c>
      <c r="K49" s="129">
        <f>+K50+K51+K52+K53+K54</f>
        <v>0.22571301967260979</v>
      </c>
      <c r="L49" s="129">
        <f>+L50+L51+L52+L53+L54</f>
        <v>0.25864939870428477</v>
      </c>
      <c r="M49" s="128"/>
      <c r="N49" s="128"/>
      <c r="O49" s="128"/>
      <c r="P49" s="128"/>
      <c r="Q49" s="128"/>
      <c r="R49" s="128"/>
      <c r="S49" s="128"/>
      <c r="T49" s="150">
        <f>+AVERAGE(T50:T54)</f>
        <v>0.99015771316080659</v>
      </c>
      <c r="U49" s="150">
        <f>+AVERAGE(U50:U54)</f>
        <v>0.76473825248627425</v>
      </c>
      <c r="V49" s="150">
        <f>+(V50+V51+V52+V53+V54)*E49</f>
        <v>0.93129965500553247</v>
      </c>
      <c r="W49" s="150">
        <f>+(W50+W51+W52+W53+W54)*E49</f>
        <v>0.63245536272490088</v>
      </c>
      <c r="X49" s="129">
        <f>+AVERAGE(X50:X54)</f>
        <v>0.25580038172039926</v>
      </c>
      <c r="Y49" s="129">
        <f>+AVERAGE(Y50:Y54)</f>
        <v>0.46694182966003145</v>
      </c>
      <c r="Z49" s="129">
        <f>+(Z50+Z51+Z52+Z53+Z54)*E49</f>
        <v>0.22738216072471779</v>
      </c>
      <c r="AA49" s="129">
        <f>+(AA50+AA51+AA52+AA53+AA54)</f>
        <v>0.41789838005687585</v>
      </c>
      <c r="AB49" s="106"/>
      <c r="AC49" s="106"/>
    </row>
    <row r="50" spans="1:29" ht="67.2" customHeight="1" thickBot="1" x14ac:dyDescent="0.4">
      <c r="A50" s="233"/>
      <c r="B50" s="791" t="s">
        <v>990</v>
      </c>
      <c r="C50" s="791" t="s">
        <v>1193</v>
      </c>
      <c r="D50" s="235" t="s">
        <v>683</v>
      </c>
      <c r="E50" s="195">
        <v>0.35</v>
      </c>
      <c r="F50" s="243">
        <v>1727905000000</v>
      </c>
      <c r="G50" s="216">
        <v>393165798563</v>
      </c>
      <c r="H50" s="216">
        <v>458399741720</v>
      </c>
      <c r="I50" s="136">
        <f>+G50/F50</f>
        <v>0.22753901317665035</v>
      </c>
      <c r="J50" s="136">
        <f t="shared" ref="J50:J56" si="60">+H50/F50</f>
        <v>0.26529221324088997</v>
      </c>
      <c r="K50" s="136">
        <f>+(G50/F50)*E50</f>
        <v>7.963865461182762E-2</v>
      </c>
      <c r="L50" s="136">
        <f t="shared" ref="L50:L56" si="61">+(H50/F50)*E50</f>
        <v>9.2852274634311491E-2</v>
      </c>
      <c r="M50" s="216">
        <v>423913849857</v>
      </c>
      <c r="N50" s="553">
        <v>215410301461</v>
      </c>
      <c r="O50" s="553">
        <v>115150898259</v>
      </c>
      <c r="P50" s="553">
        <v>42205839401</v>
      </c>
      <c r="Q50" s="216"/>
      <c r="R50" s="216">
        <f t="shared" ref="R50:R54" si="62">+N50+O50+P50+Q50</f>
        <v>372767039121</v>
      </c>
      <c r="S50" s="216">
        <f t="shared" ref="S50:S54" si="63">+R50+M50</f>
        <v>796680888978</v>
      </c>
      <c r="T50" s="136">
        <v>1</v>
      </c>
      <c r="U50" s="136">
        <f t="shared" ref="U50:U56" si="64">+R50/H50</f>
        <v>0.81319207930246562</v>
      </c>
      <c r="V50" s="136">
        <f>+T50*E50</f>
        <v>0.35</v>
      </c>
      <c r="W50" s="136">
        <f t="shared" ref="W50:W56" si="65">+U50*E50</f>
        <v>0.28461722775586296</v>
      </c>
      <c r="X50" s="136">
        <f>+M50/F50</f>
        <v>0.24533400265465982</v>
      </c>
      <c r="Y50" s="136">
        <f t="shared" ref="Y50:Y54" si="66">+S50/F50</f>
        <v>0.46106752916277227</v>
      </c>
      <c r="Z50" s="136">
        <f>+X50*E50</f>
        <v>8.5866900929130935E-2</v>
      </c>
      <c r="AA50" s="136">
        <f>+Y50*E50</f>
        <v>0.16137363520697029</v>
      </c>
      <c r="AB50" s="106"/>
      <c r="AC50" s="106"/>
    </row>
    <row r="51" spans="1:29" ht="67.2" customHeight="1" thickBot="1" x14ac:dyDescent="0.4">
      <c r="A51" s="233"/>
      <c r="B51" s="791" t="s">
        <v>991</v>
      </c>
      <c r="C51" s="791" t="s">
        <v>1194</v>
      </c>
      <c r="D51" s="235" t="s">
        <v>683</v>
      </c>
      <c r="E51" s="195">
        <v>0.4</v>
      </c>
      <c r="F51" s="243">
        <v>2912805184493</v>
      </c>
      <c r="G51" s="216">
        <v>662915926390</v>
      </c>
      <c r="H51" s="216">
        <v>732697266239</v>
      </c>
      <c r="I51" s="136">
        <f>+G51/F51</f>
        <v>0.22758677096538693</v>
      </c>
      <c r="J51" s="136">
        <f t="shared" si="60"/>
        <v>0.25154351898976468</v>
      </c>
      <c r="K51" s="136">
        <f>+(G51/F51)*E51</f>
        <v>9.1034708386154781E-2</v>
      </c>
      <c r="L51" s="136">
        <f t="shared" si="61"/>
        <v>0.10061740759590587</v>
      </c>
      <c r="M51" s="216">
        <v>630292882901</v>
      </c>
      <c r="N51" s="553">
        <v>81349836580</v>
      </c>
      <c r="O51" s="553">
        <v>148570009721</v>
      </c>
      <c r="P51" s="553">
        <v>102139673891</v>
      </c>
      <c r="Q51" s="216"/>
      <c r="R51" s="216">
        <f t="shared" si="62"/>
        <v>332059520192</v>
      </c>
      <c r="S51" s="216">
        <f t="shared" si="63"/>
        <v>962352403093</v>
      </c>
      <c r="T51" s="136">
        <f>+(M51/G51)</f>
        <v>0.95078856580403304</v>
      </c>
      <c r="U51" s="136">
        <f t="shared" si="64"/>
        <v>0.45320152741457731</v>
      </c>
      <c r="V51" s="136">
        <f>+T51*E51</f>
        <v>0.38031542632161325</v>
      </c>
      <c r="W51" s="136">
        <f t="shared" si="65"/>
        <v>0.18128061096583092</v>
      </c>
      <c r="X51" s="136">
        <f>+M51/F51</f>
        <v>0.21638689956215118</v>
      </c>
      <c r="Y51" s="136">
        <f t="shared" si="66"/>
        <v>0.33038680657955027</v>
      </c>
      <c r="Z51" s="136">
        <f>+X51*E51</f>
        <v>8.655475982486048E-2</v>
      </c>
      <c r="AA51" s="136">
        <f>+Y51*E51</f>
        <v>0.13215472263182013</v>
      </c>
      <c r="AB51" s="106"/>
      <c r="AC51" s="106"/>
    </row>
    <row r="52" spans="1:29" ht="67.2" customHeight="1" thickBot="1" x14ac:dyDescent="0.4">
      <c r="A52" s="233"/>
      <c r="B52" s="791" t="s">
        <v>992</v>
      </c>
      <c r="C52" s="791" t="s">
        <v>1195</v>
      </c>
      <c r="D52" s="235" t="s">
        <v>683</v>
      </c>
      <c r="E52" s="195">
        <v>0.08</v>
      </c>
      <c r="F52" s="243">
        <v>34797802428</v>
      </c>
      <c r="G52" s="216">
        <v>7138513013</v>
      </c>
      <c r="H52" s="216">
        <v>9115167266</v>
      </c>
      <c r="I52" s="136">
        <f>+G52/F52</f>
        <v>0.2051426387562913</v>
      </c>
      <c r="J52" s="136">
        <f t="shared" si="60"/>
        <v>0.26194663541929575</v>
      </c>
      <c r="K52" s="136">
        <f>+(G52/F52)*E52</f>
        <v>1.6411411100503304E-2</v>
      </c>
      <c r="L52" s="136">
        <f t="shared" si="61"/>
        <v>2.095573083354366E-2</v>
      </c>
      <c r="M52" s="216">
        <v>11515173869</v>
      </c>
      <c r="N52" s="553">
        <v>8962015901</v>
      </c>
      <c r="O52" s="553">
        <v>1117484230</v>
      </c>
      <c r="P52" s="553">
        <v>1362281185</v>
      </c>
      <c r="Q52" s="216"/>
      <c r="R52" s="216">
        <f t="shared" si="62"/>
        <v>11441781316</v>
      </c>
      <c r="S52" s="216">
        <f t="shared" si="63"/>
        <v>22956955185</v>
      </c>
      <c r="T52" s="136">
        <v>1</v>
      </c>
      <c r="U52" s="136">
        <v>1</v>
      </c>
      <c r="V52" s="136">
        <f>+T52*E52</f>
        <v>0.08</v>
      </c>
      <c r="W52" s="136">
        <f t="shared" si="65"/>
        <v>0.08</v>
      </c>
      <c r="X52" s="136">
        <f>+M52/F52</f>
        <v>0.33091669776636046</v>
      </c>
      <c r="Y52" s="136">
        <f t="shared" si="66"/>
        <v>0.65972428093699731</v>
      </c>
      <c r="Z52" s="136">
        <f>+X52*E52</f>
        <v>2.6473335821308838E-2</v>
      </c>
      <c r="AA52" s="136">
        <f>+Y52*E52</f>
        <v>5.2777942474959788E-2</v>
      </c>
      <c r="AB52" s="106"/>
      <c r="AC52" s="106"/>
    </row>
    <row r="53" spans="1:29" ht="67.2" customHeight="1" thickBot="1" x14ac:dyDescent="0.4">
      <c r="A53" s="233"/>
      <c r="B53" s="791" t="s">
        <v>993</v>
      </c>
      <c r="C53" s="791" t="s">
        <v>1196</v>
      </c>
      <c r="D53" s="235" t="s">
        <v>683</v>
      </c>
      <c r="E53" s="195">
        <v>0.15</v>
      </c>
      <c r="F53" s="243">
        <v>238874034451</v>
      </c>
      <c r="G53" s="216">
        <v>53552764612</v>
      </c>
      <c r="H53" s="216">
        <v>62463944648</v>
      </c>
      <c r="I53" s="136">
        <f>+G53/F53</f>
        <v>0.22418830382749377</v>
      </c>
      <c r="J53" s="136">
        <f t="shared" si="60"/>
        <v>0.26149323760349169</v>
      </c>
      <c r="K53" s="136">
        <f>+(G53/F53)*E53</f>
        <v>3.3628245574124062E-2</v>
      </c>
      <c r="L53" s="136">
        <f t="shared" si="61"/>
        <v>3.9223985640523755E-2</v>
      </c>
      <c r="M53" s="216">
        <v>56461296000</v>
      </c>
      <c r="N53" s="553">
        <v>15037510000</v>
      </c>
      <c r="O53" s="553">
        <v>14645008000</v>
      </c>
      <c r="P53" s="553">
        <v>12936485000</v>
      </c>
      <c r="Q53" s="216"/>
      <c r="R53" s="216">
        <f t="shared" si="62"/>
        <v>42619003000</v>
      </c>
      <c r="S53" s="216">
        <f t="shared" si="63"/>
        <v>99080299000</v>
      </c>
      <c r="T53" s="136">
        <v>1</v>
      </c>
      <c r="U53" s="136">
        <f t="shared" si="64"/>
        <v>0.68229765571432888</v>
      </c>
      <c r="V53" s="136">
        <f>+T53*E53</f>
        <v>0.15</v>
      </c>
      <c r="W53" s="136">
        <f t="shared" si="65"/>
        <v>0.10234464835714933</v>
      </c>
      <c r="X53" s="136">
        <f>+M53/F53</f>
        <v>0.23636430861882501</v>
      </c>
      <c r="Y53" s="136">
        <f t="shared" si="66"/>
        <v>0.41478053162083739</v>
      </c>
      <c r="Z53" s="136">
        <f>+X53*E53</f>
        <v>3.5454646292823751E-2</v>
      </c>
      <c r="AA53" s="136">
        <f>+Y53*E53</f>
        <v>6.2217079743125604E-2</v>
      </c>
      <c r="AB53" s="106"/>
      <c r="AC53" s="106"/>
    </row>
    <row r="54" spans="1:29" ht="98.4" customHeight="1" thickBot="1" x14ac:dyDescent="0.4">
      <c r="A54" s="233"/>
      <c r="B54" s="791" t="s">
        <v>994</v>
      </c>
      <c r="C54" s="791" t="s">
        <v>1509</v>
      </c>
      <c r="D54" s="235" t="s">
        <v>683</v>
      </c>
      <c r="E54" s="195">
        <v>0.02</v>
      </c>
      <c r="F54" s="193">
        <v>16</v>
      </c>
      <c r="G54" s="216">
        <v>4</v>
      </c>
      <c r="H54" s="216">
        <v>4</v>
      </c>
      <c r="I54" s="136">
        <f>+G54/F54</f>
        <v>0.25</v>
      </c>
      <c r="J54" s="136">
        <f t="shared" si="60"/>
        <v>0.25</v>
      </c>
      <c r="K54" s="136">
        <f>+(G54/F54)*E54</f>
        <v>5.0000000000000001E-3</v>
      </c>
      <c r="L54" s="136">
        <f t="shared" si="61"/>
        <v>5.0000000000000001E-3</v>
      </c>
      <c r="M54" s="216">
        <v>4</v>
      </c>
      <c r="N54" s="553">
        <v>1</v>
      </c>
      <c r="O54" s="553">
        <v>0.5</v>
      </c>
      <c r="P54" s="553">
        <v>2</v>
      </c>
      <c r="Q54" s="216"/>
      <c r="R54" s="216">
        <f t="shared" si="62"/>
        <v>3.5</v>
      </c>
      <c r="S54" s="216">
        <f t="shared" si="63"/>
        <v>7.5</v>
      </c>
      <c r="T54" s="136">
        <f>+(M54/G54)</f>
        <v>1</v>
      </c>
      <c r="U54" s="136">
        <f t="shared" si="64"/>
        <v>0.875</v>
      </c>
      <c r="V54" s="136">
        <f>+T54*E54</f>
        <v>0.02</v>
      </c>
      <c r="W54" s="136">
        <f t="shared" si="65"/>
        <v>1.7500000000000002E-2</v>
      </c>
      <c r="X54" s="136">
        <f>+M54/F54</f>
        <v>0.25</v>
      </c>
      <c r="Y54" s="136">
        <f t="shared" si="66"/>
        <v>0.46875</v>
      </c>
      <c r="Z54" s="136">
        <f>+X54*E54</f>
        <v>5.0000000000000001E-3</v>
      </c>
      <c r="AA54" s="136">
        <f>+Y54*E54</f>
        <v>9.3749999999999997E-3</v>
      </c>
      <c r="AB54" s="106"/>
      <c r="AC54" s="106"/>
    </row>
    <row r="55" spans="1:29" ht="67.2" customHeight="1" thickBot="1" x14ac:dyDescent="0.4">
      <c r="A55" s="233"/>
      <c r="B55" s="991" t="s">
        <v>1693</v>
      </c>
      <c r="C55" s="977"/>
      <c r="D55" s="235"/>
      <c r="E55" s="199">
        <v>0.05</v>
      </c>
      <c r="F55" s="183"/>
      <c r="G55" s="123"/>
      <c r="H55" s="216"/>
      <c r="I55" s="129"/>
      <c r="J55" s="129">
        <f>+AVERAGE(J56)</f>
        <v>0.25</v>
      </c>
      <c r="K55" s="129"/>
      <c r="L55" s="129">
        <f>+L56</f>
        <v>0.25</v>
      </c>
      <c r="M55" s="128"/>
      <c r="N55" s="128"/>
      <c r="O55" s="128"/>
      <c r="P55" s="128"/>
      <c r="Q55" s="128"/>
      <c r="R55" s="128"/>
      <c r="S55" s="128"/>
      <c r="T55" s="150"/>
      <c r="U55" s="150">
        <f>+AVERAGE(U56)</f>
        <v>1</v>
      </c>
      <c r="V55" s="150"/>
      <c r="W55" s="150">
        <f>+(W56)*E55</f>
        <v>0.05</v>
      </c>
      <c r="X55" s="129"/>
      <c r="Y55" s="129">
        <f>+AVERAGE(Y56)</f>
        <v>1</v>
      </c>
      <c r="Z55" s="129"/>
      <c r="AA55" s="129">
        <f>+(AA56)</f>
        <v>1</v>
      </c>
      <c r="AB55" s="106"/>
      <c r="AC55" s="106"/>
    </row>
    <row r="56" spans="1:29" ht="109.8" customHeight="1" thickBot="1" x14ac:dyDescent="0.4">
      <c r="A56" s="233"/>
      <c r="B56" s="791" t="s">
        <v>995</v>
      </c>
      <c r="C56" s="791" t="s">
        <v>1197</v>
      </c>
      <c r="D56" s="244" t="s">
        <v>683</v>
      </c>
      <c r="E56" s="205">
        <v>1</v>
      </c>
      <c r="F56" s="193">
        <v>4</v>
      </c>
      <c r="G56" s="130"/>
      <c r="H56" s="130">
        <v>1</v>
      </c>
      <c r="I56" s="136"/>
      <c r="J56" s="136">
        <f t="shared" si="60"/>
        <v>0.25</v>
      </c>
      <c r="K56" s="136"/>
      <c r="L56" s="136">
        <f t="shared" si="61"/>
        <v>0.25</v>
      </c>
      <c r="M56" s="130"/>
      <c r="N56" s="550">
        <v>0.25</v>
      </c>
      <c r="O56" s="550">
        <v>0.25</v>
      </c>
      <c r="P56" s="130">
        <v>0.5</v>
      </c>
      <c r="Q56" s="130"/>
      <c r="R56" s="130">
        <f t="shared" ref="R56" si="67">+N56+O56+P56+Q56</f>
        <v>1</v>
      </c>
      <c r="S56" s="130">
        <f t="shared" ref="S56" si="68">+R56+M56</f>
        <v>1</v>
      </c>
      <c r="T56" s="136"/>
      <c r="U56" s="136">
        <f t="shared" si="64"/>
        <v>1</v>
      </c>
      <c r="V56" s="136"/>
      <c r="W56" s="136">
        <f t="shared" si="65"/>
        <v>1</v>
      </c>
      <c r="X56" s="136"/>
      <c r="Y56" s="152">
        <f>+S56/1</f>
        <v>1</v>
      </c>
      <c r="Z56" s="136"/>
      <c r="AA56" s="136">
        <f>+Y56*E56</f>
        <v>1</v>
      </c>
      <c r="AB56" s="106"/>
      <c r="AC56" s="106"/>
    </row>
    <row r="57" spans="1:29" ht="67.2" customHeight="1" thickBot="1" x14ac:dyDescent="0.4">
      <c r="A57" s="233"/>
      <c r="B57" s="985" t="s">
        <v>1756</v>
      </c>
      <c r="C57" s="977"/>
      <c r="D57" s="235"/>
      <c r="E57" s="201">
        <v>0.1</v>
      </c>
      <c r="F57" s="236">
        <f>E57*V57</f>
        <v>8.6250000000000007E-2</v>
      </c>
      <c r="G57" s="123"/>
      <c r="H57" s="236">
        <f>+E57*W57</f>
        <v>5.4679018670309644E-2</v>
      </c>
      <c r="I57" s="121">
        <f>+(I58+I61+I66+I68+I74)/5</f>
        <v>0.22780333900383748</v>
      </c>
      <c r="J57" s="121">
        <f>+(J58+J61+J66+J68+J74)/5</f>
        <v>0.28056602016325777</v>
      </c>
      <c r="K57" s="122">
        <f>+(K58+K61+K66+K68+K74)/5</f>
        <v>0.22258316849309651</v>
      </c>
      <c r="L57" s="122">
        <f>+(L58+L61+L66+L68+L74)/5</f>
        <v>0.27229331342063273</v>
      </c>
      <c r="M57" s="123"/>
      <c r="N57" s="123"/>
      <c r="O57" s="123"/>
      <c r="P57" s="123"/>
      <c r="Q57" s="123"/>
      <c r="R57" s="123"/>
      <c r="S57" s="123"/>
      <c r="T57" s="121">
        <f>+(T58+T61+T66+T68+T74)/5</f>
        <v>0.93333333333333324</v>
      </c>
      <c r="U57" s="121">
        <f>+(U58+U61+U66+U68+U74)/5</f>
        <v>0.47258397085610204</v>
      </c>
      <c r="V57" s="122">
        <f>V58+V61+V66+V68+V74</f>
        <v>0.86250000000000004</v>
      </c>
      <c r="W57" s="122">
        <f>W58+W61+W66+W68+W74</f>
        <v>0.54679018670309643</v>
      </c>
      <c r="X57" s="121">
        <f>(X58+X61+X66+X68+X74)/5</f>
        <v>0.25439168183196847</v>
      </c>
      <c r="Y57" s="121">
        <f>(Y58+Y61+Y66+Y68+Y74)/5</f>
        <v>0.38315178192296029</v>
      </c>
      <c r="Z57" s="237">
        <f>(Z58+Z61+Z66+Z68+Z74)</f>
        <v>0.28719335759781622</v>
      </c>
      <c r="AA57" s="237">
        <f>(AA58*E58+AA61*E61+AA66*E66+AA68*E68+AA74*E74)</f>
        <v>0.43271951774340311</v>
      </c>
      <c r="AB57" s="106"/>
      <c r="AC57" s="106"/>
    </row>
    <row r="58" spans="1:29" ht="67.2" customHeight="1" thickBot="1" x14ac:dyDescent="0.4">
      <c r="A58" s="233"/>
      <c r="B58" s="991" t="s">
        <v>1694</v>
      </c>
      <c r="C58" s="977"/>
      <c r="D58" s="235"/>
      <c r="E58" s="199">
        <v>0.2</v>
      </c>
      <c r="F58" s="183"/>
      <c r="G58" s="123"/>
      <c r="H58" s="123"/>
      <c r="I58" s="129">
        <f>+AVERAGE(I59:I60)</f>
        <v>0.24988626023657873</v>
      </c>
      <c r="J58" s="129">
        <f>+AVERAGE(J59:J60)</f>
        <v>0.24988626023657873</v>
      </c>
      <c r="K58" s="129">
        <f>+K59+K60</f>
        <v>0.24981801637852596</v>
      </c>
      <c r="L58" s="129">
        <f>+L59+L60</f>
        <v>0.24981801637852596</v>
      </c>
      <c r="M58" s="128"/>
      <c r="N58" s="128"/>
      <c r="O58" s="128"/>
      <c r="P58" s="128"/>
      <c r="Q58" s="128"/>
      <c r="R58" s="128"/>
      <c r="S58" s="128"/>
      <c r="T58" s="150">
        <f>+AVERAGE(T59:T60)</f>
        <v>1</v>
      </c>
      <c r="U58" s="150">
        <f>+AVERAGE(U59:U60)</f>
        <v>0.4975865209471767</v>
      </c>
      <c r="V58" s="150">
        <f>+(V59+V60)*E58</f>
        <v>0.2</v>
      </c>
      <c r="W58" s="150">
        <f>+(W59+W60)*E58</f>
        <v>0.14122768670309657</v>
      </c>
      <c r="X58" s="129">
        <f>+AVERAGE(X59:X60)</f>
        <v>0.38341674249317559</v>
      </c>
      <c r="Y58" s="129">
        <f>+AVERAGE(Y59:Y60)</f>
        <v>0.50771724294813469</v>
      </c>
      <c r="Z58" s="129">
        <f>+(Z59+Z60)*E58</f>
        <v>9.2693357597816203E-2</v>
      </c>
      <c r="AA58" s="129">
        <f>+(AA59+AA60)</f>
        <v>0.63984758871701541</v>
      </c>
      <c r="AB58" s="106"/>
      <c r="AC58" s="106"/>
    </row>
    <row r="59" spans="1:29" ht="89.4" customHeight="1" thickBot="1" x14ac:dyDescent="0.4">
      <c r="A59" s="233"/>
      <c r="B59" s="935" t="s">
        <v>996</v>
      </c>
      <c r="C59" s="935" t="s">
        <v>1198</v>
      </c>
      <c r="D59" s="235" t="s">
        <v>997</v>
      </c>
      <c r="E59" s="195">
        <v>0.8</v>
      </c>
      <c r="F59" s="193">
        <v>2198</v>
      </c>
      <c r="G59" s="130">
        <v>549</v>
      </c>
      <c r="H59" s="130">
        <v>549</v>
      </c>
      <c r="I59" s="136">
        <f>+G59/F59</f>
        <v>0.24977252047315743</v>
      </c>
      <c r="J59" s="136">
        <f t="shared" ref="J59:J76" si="69">+H59/F59</f>
        <v>0.24977252047315743</v>
      </c>
      <c r="K59" s="136">
        <f>+(G59/F59)*E59</f>
        <v>0.19981801637852595</v>
      </c>
      <c r="L59" s="136">
        <f t="shared" ref="L59:L76" si="70">+(H59/F59)*E59</f>
        <v>0.19981801637852595</v>
      </c>
      <c r="M59" s="130">
        <v>1136</v>
      </c>
      <c r="N59" s="550">
        <v>0</v>
      </c>
      <c r="O59" s="550">
        <v>190</v>
      </c>
      <c r="P59" s="550">
        <v>274</v>
      </c>
      <c r="Q59" s="130"/>
      <c r="R59" s="130">
        <f t="shared" ref="R59:R60" si="71">+N59+O59+P59+Q59</f>
        <v>464</v>
      </c>
      <c r="S59" s="130">
        <f t="shared" ref="S59:S60" si="72">+R59+M59</f>
        <v>1600</v>
      </c>
      <c r="T59" s="136">
        <v>1</v>
      </c>
      <c r="U59" s="136">
        <f t="shared" ref="U59:U60" si="73">+R59/H59</f>
        <v>0.84517304189435338</v>
      </c>
      <c r="V59" s="136">
        <f>+T59*E59</f>
        <v>0.8</v>
      </c>
      <c r="W59" s="136">
        <f t="shared" ref="W59:W60" si="74">+U59*E59</f>
        <v>0.67613843351548275</v>
      </c>
      <c r="X59" s="136">
        <f>+M59/F59</f>
        <v>0.51683348498635118</v>
      </c>
      <c r="Y59" s="136">
        <f>+S59/F59</f>
        <v>0.7279344858962693</v>
      </c>
      <c r="Z59" s="136">
        <f>+X59*E59</f>
        <v>0.41346678798908099</v>
      </c>
      <c r="AA59" s="136">
        <f>+Y59*E59</f>
        <v>0.58234758871701542</v>
      </c>
      <c r="AB59" s="117"/>
      <c r="AC59" s="106"/>
    </row>
    <row r="60" spans="1:29" ht="118.95" customHeight="1" thickBot="1" x14ac:dyDescent="0.4">
      <c r="A60" s="233"/>
      <c r="B60" s="935" t="s">
        <v>998</v>
      </c>
      <c r="C60" s="935" t="s">
        <v>1199</v>
      </c>
      <c r="D60" s="235" t="s">
        <v>997</v>
      </c>
      <c r="E60" s="195">
        <v>0.2</v>
      </c>
      <c r="F60" s="193">
        <v>4</v>
      </c>
      <c r="G60" s="130">
        <v>1</v>
      </c>
      <c r="H60" s="130">
        <v>1</v>
      </c>
      <c r="I60" s="136">
        <f>+G60/F60</f>
        <v>0.25</v>
      </c>
      <c r="J60" s="136">
        <f t="shared" si="69"/>
        <v>0.25</v>
      </c>
      <c r="K60" s="136">
        <f>+(G60/F60)*E60</f>
        <v>0.05</v>
      </c>
      <c r="L60" s="136">
        <f t="shared" si="70"/>
        <v>0.05</v>
      </c>
      <c r="M60" s="130">
        <v>1</v>
      </c>
      <c r="N60" s="550">
        <v>0.1</v>
      </c>
      <c r="O60" s="550">
        <v>0.05</v>
      </c>
      <c r="P60" s="550">
        <v>0</v>
      </c>
      <c r="Q60" s="130"/>
      <c r="R60" s="130">
        <f t="shared" si="71"/>
        <v>0.15000000000000002</v>
      </c>
      <c r="S60" s="130">
        <f t="shared" si="72"/>
        <v>1.1499999999999999</v>
      </c>
      <c r="T60" s="136">
        <f>+(M60/G60)</f>
        <v>1</v>
      </c>
      <c r="U60" s="136">
        <f t="shared" si="73"/>
        <v>0.15000000000000002</v>
      </c>
      <c r="V60" s="136">
        <f>+T60*E60</f>
        <v>0.2</v>
      </c>
      <c r="W60" s="136">
        <f t="shared" si="74"/>
        <v>3.0000000000000006E-2</v>
      </c>
      <c r="X60" s="136">
        <f>+M60/F60</f>
        <v>0.25</v>
      </c>
      <c r="Y60" s="136">
        <f t="shared" ref="Y60" si="75">+S60/F60</f>
        <v>0.28749999999999998</v>
      </c>
      <c r="Z60" s="136">
        <f>+X60*E60</f>
        <v>0.05</v>
      </c>
      <c r="AA60" s="136">
        <f>+Y60*E60</f>
        <v>5.7499999999999996E-2</v>
      </c>
      <c r="AB60" s="117"/>
      <c r="AC60" s="106"/>
    </row>
    <row r="61" spans="1:29" ht="67.2" customHeight="1" thickBot="1" x14ac:dyDescent="0.4">
      <c r="A61" s="233"/>
      <c r="B61" s="991" t="s">
        <v>1757</v>
      </c>
      <c r="C61" s="977"/>
      <c r="D61" s="235"/>
      <c r="E61" s="199">
        <v>0.3</v>
      </c>
      <c r="F61" s="183"/>
      <c r="G61" s="123"/>
      <c r="H61" s="123"/>
      <c r="I61" s="129">
        <f>+AVERAGE(I62:I65)</f>
        <v>0.15</v>
      </c>
      <c r="J61" s="129">
        <f>+AVERAGE(J62:J65)</f>
        <v>0.29062500000000002</v>
      </c>
      <c r="K61" s="129">
        <f>+K62+K63+K64+K65</f>
        <v>0.19624999999999998</v>
      </c>
      <c r="L61" s="129">
        <f>+L62+L63+L64+L65</f>
        <v>0.27124999999999999</v>
      </c>
      <c r="M61" s="128"/>
      <c r="N61" s="128"/>
      <c r="O61" s="128"/>
      <c r="P61" s="128"/>
      <c r="Q61" s="128"/>
      <c r="R61" s="128"/>
      <c r="S61" s="128"/>
      <c r="T61" s="150">
        <f>+AVERAGE(T62:T65)</f>
        <v>1</v>
      </c>
      <c r="U61" s="150">
        <f>+AVERAGE(U62:U65)</f>
        <v>0.58333333333333326</v>
      </c>
      <c r="V61" s="150">
        <f>+(V62+V63+V64+V65)*E61</f>
        <v>0.3</v>
      </c>
      <c r="W61" s="150">
        <f>+(W62+W63+W64+W65)*E61</f>
        <v>0.19124999999999998</v>
      </c>
      <c r="X61" s="129">
        <f>+AVERAGE(X62:X65)</f>
        <v>0.22187499999999999</v>
      </c>
      <c r="Y61" s="129">
        <f>+AVERAGE(Y62:Y65)</f>
        <v>0.390625</v>
      </c>
      <c r="Z61" s="129">
        <f>+(Z62+Z63+Z64+Z65)*E61</f>
        <v>0.103875</v>
      </c>
      <c r="AA61" s="129">
        <f>+(AA62+AA63+AA64+AA65)</f>
        <v>0.5162500000000001</v>
      </c>
      <c r="AB61" s="117"/>
      <c r="AC61" s="106"/>
    </row>
    <row r="62" spans="1:29" ht="67.2" customHeight="1" thickBot="1" x14ac:dyDescent="0.4">
      <c r="A62" s="233"/>
      <c r="B62" s="935" t="s">
        <v>999</v>
      </c>
      <c r="C62" s="935" t="s">
        <v>1200</v>
      </c>
      <c r="D62" s="235" t="s">
        <v>997</v>
      </c>
      <c r="E62" s="195">
        <v>0.6</v>
      </c>
      <c r="F62" s="193">
        <v>80</v>
      </c>
      <c r="G62" s="130">
        <v>20</v>
      </c>
      <c r="H62" s="130">
        <v>20</v>
      </c>
      <c r="I62" s="136">
        <f>+G62/F62</f>
        <v>0.25</v>
      </c>
      <c r="J62" s="136">
        <f t="shared" si="69"/>
        <v>0.25</v>
      </c>
      <c r="K62" s="136">
        <f>+(G62/F62)*E62</f>
        <v>0.15</v>
      </c>
      <c r="L62" s="136">
        <f t="shared" si="70"/>
        <v>0.15</v>
      </c>
      <c r="M62" s="130">
        <v>39</v>
      </c>
      <c r="N62" s="550">
        <v>1</v>
      </c>
      <c r="O62" s="550">
        <v>6</v>
      </c>
      <c r="P62" s="550">
        <v>8</v>
      </c>
      <c r="Q62" s="130"/>
      <c r="R62" s="130">
        <f t="shared" ref="R62:R65" si="76">+N62+O62+P62+Q62</f>
        <v>15</v>
      </c>
      <c r="S62" s="130">
        <f t="shared" ref="S62:S65" si="77">+R62+M62</f>
        <v>54</v>
      </c>
      <c r="T62" s="136">
        <v>1</v>
      </c>
      <c r="U62" s="136">
        <f t="shared" ref="U62:U65" si="78">+R62/H62</f>
        <v>0.75</v>
      </c>
      <c r="V62" s="136">
        <f>+T62*E62</f>
        <v>0.6</v>
      </c>
      <c r="W62" s="136">
        <f t="shared" ref="W62:W76" si="79">+U62*E62</f>
        <v>0.44999999999999996</v>
      </c>
      <c r="X62" s="136">
        <f>+M62/F62</f>
        <v>0.48749999999999999</v>
      </c>
      <c r="Y62" s="136">
        <f t="shared" ref="Y62:Y65" si="80">+S62/F62</f>
        <v>0.67500000000000004</v>
      </c>
      <c r="Z62" s="136">
        <f>+X62*E62</f>
        <v>0.29249999999999998</v>
      </c>
      <c r="AA62" s="136">
        <f>+Y62*E62</f>
        <v>0.40500000000000003</v>
      </c>
      <c r="AB62" s="117"/>
      <c r="AC62" s="106"/>
    </row>
    <row r="63" spans="1:29" ht="67.2" customHeight="1" thickBot="1" x14ac:dyDescent="0.4">
      <c r="A63" s="233"/>
      <c r="B63" s="935" t="s">
        <v>1000</v>
      </c>
      <c r="C63" s="935" t="s">
        <v>1201</v>
      </c>
      <c r="D63" s="235" t="s">
        <v>997</v>
      </c>
      <c r="E63" s="195">
        <v>0.15</v>
      </c>
      <c r="F63" s="193">
        <v>20</v>
      </c>
      <c r="G63" s="130">
        <v>2</v>
      </c>
      <c r="H63" s="130">
        <v>6</v>
      </c>
      <c r="I63" s="136">
        <f>+G63/F63</f>
        <v>0.1</v>
      </c>
      <c r="J63" s="136">
        <f t="shared" si="69"/>
        <v>0.3</v>
      </c>
      <c r="K63" s="136">
        <f>+(G63/F63)*E63</f>
        <v>1.4999999999999999E-2</v>
      </c>
      <c r="L63" s="136">
        <f t="shared" si="70"/>
        <v>4.4999999999999998E-2</v>
      </c>
      <c r="M63" s="130">
        <v>3</v>
      </c>
      <c r="N63" s="550">
        <v>0.6</v>
      </c>
      <c r="O63" s="550">
        <v>0.36</v>
      </c>
      <c r="P63" s="550">
        <v>0.04</v>
      </c>
      <c r="Q63" s="130"/>
      <c r="R63" s="130">
        <f t="shared" si="76"/>
        <v>1</v>
      </c>
      <c r="S63" s="130">
        <f t="shared" si="77"/>
        <v>4</v>
      </c>
      <c r="T63" s="136">
        <v>1</v>
      </c>
      <c r="U63" s="136">
        <f t="shared" si="78"/>
        <v>0.16666666666666666</v>
      </c>
      <c r="V63" s="136">
        <f>+T63*E63</f>
        <v>0.15</v>
      </c>
      <c r="W63" s="136">
        <f t="shared" si="79"/>
        <v>2.4999999999999998E-2</v>
      </c>
      <c r="X63" s="136">
        <f>+M63/F63</f>
        <v>0.15</v>
      </c>
      <c r="Y63" s="136">
        <f t="shared" si="80"/>
        <v>0.2</v>
      </c>
      <c r="Z63" s="136">
        <f>+X63*E63</f>
        <v>2.2499999999999999E-2</v>
      </c>
      <c r="AA63" s="136">
        <f>+Y63*E63</f>
        <v>0.03</v>
      </c>
      <c r="AB63" s="117"/>
      <c r="AC63" s="106"/>
    </row>
    <row r="64" spans="1:29" ht="125.4" customHeight="1" thickBot="1" x14ac:dyDescent="0.4">
      <c r="A64" s="233"/>
      <c r="B64" s="935" t="s">
        <v>1001</v>
      </c>
      <c r="C64" s="935" t="s">
        <v>1202</v>
      </c>
      <c r="D64" s="235" t="s">
        <v>997</v>
      </c>
      <c r="E64" s="195">
        <v>0.1</v>
      </c>
      <c r="F64" s="193">
        <v>16</v>
      </c>
      <c r="G64" s="130">
        <v>2</v>
      </c>
      <c r="H64" s="130">
        <v>5</v>
      </c>
      <c r="I64" s="136">
        <f>+G64/F64</f>
        <v>0.125</v>
      </c>
      <c r="J64" s="136">
        <f t="shared" si="69"/>
        <v>0.3125</v>
      </c>
      <c r="K64" s="136">
        <f>+(G64/F64)*E64</f>
        <v>1.2500000000000001E-2</v>
      </c>
      <c r="L64" s="136">
        <f t="shared" si="70"/>
        <v>3.125E-2</v>
      </c>
      <c r="M64" s="130">
        <v>2</v>
      </c>
      <c r="N64" s="550">
        <v>1</v>
      </c>
      <c r="O64" s="550">
        <v>4</v>
      </c>
      <c r="P64" s="550">
        <v>0</v>
      </c>
      <c r="Q64" s="130"/>
      <c r="R64" s="130">
        <f t="shared" si="76"/>
        <v>5</v>
      </c>
      <c r="S64" s="130">
        <f t="shared" si="77"/>
        <v>7</v>
      </c>
      <c r="T64" s="136">
        <f>+(M64/G64)</f>
        <v>1</v>
      </c>
      <c r="U64" s="136">
        <f t="shared" si="78"/>
        <v>1</v>
      </c>
      <c r="V64" s="136">
        <f>+T64*E64</f>
        <v>0.1</v>
      </c>
      <c r="W64" s="136">
        <f>+U64*E64</f>
        <v>0.1</v>
      </c>
      <c r="X64" s="136">
        <f>+M64/F64</f>
        <v>0.125</v>
      </c>
      <c r="Y64" s="136">
        <f t="shared" si="80"/>
        <v>0.4375</v>
      </c>
      <c r="Z64" s="136">
        <f>+X64*E64</f>
        <v>1.2500000000000001E-2</v>
      </c>
      <c r="AA64" s="136">
        <f>+Y64*E64</f>
        <v>4.3750000000000004E-2</v>
      </c>
      <c r="AB64" s="117"/>
      <c r="AC64" s="106"/>
    </row>
    <row r="65" spans="1:29" ht="67.2" customHeight="1" thickBot="1" x14ac:dyDescent="0.4">
      <c r="A65" s="233"/>
      <c r="B65" s="935" t="s">
        <v>1002</v>
      </c>
      <c r="C65" s="935" t="s">
        <v>1203</v>
      </c>
      <c r="D65" s="235" t="s">
        <v>997</v>
      </c>
      <c r="E65" s="195">
        <v>0.15</v>
      </c>
      <c r="F65" s="193">
        <v>40</v>
      </c>
      <c r="G65" s="130">
        <v>5</v>
      </c>
      <c r="H65" s="130">
        <v>12</v>
      </c>
      <c r="I65" s="136">
        <f>+G65/F65</f>
        <v>0.125</v>
      </c>
      <c r="J65" s="136">
        <f t="shared" si="69"/>
        <v>0.3</v>
      </c>
      <c r="K65" s="136">
        <f>+(G65/F65)*E65</f>
        <v>1.8749999999999999E-2</v>
      </c>
      <c r="L65" s="136">
        <f t="shared" si="70"/>
        <v>4.4999999999999998E-2</v>
      </c>
      <c r="M65" s="130">
        <v>5</v>
      </c>
      <c r="N65" s="550">
        <v>1.2</v>
      </c>
      <c r="O65" s="550">
        <v>2.8</v>
      </c>
      <c r="P65" s="550">
        <v>1</v>
      </c>
      <c r="Q65" s="130"/>
      <c r="R65" s="130">
        <f t="shared" si="76"/>
        <v>5</v>
      </c>
      <c r="S65" s="130">
        <f t="shared" si="77"/>
        <v>10</v>
      </c>
      <c r="T65" s="136">
        <f>+(M65/G65)</f>
        <v>1</v>
      </c>
      <c r="U65" s="136">
        <f t="shared" si="78"/>
        <v>0.41666666666666669</v>
      </c>
      <c r="V65" s="136">
        <f>+T65*E65</f>
        <v>0.15</v>
      </c>
      <c r="W65" s="136">
        <f t="shared" si="79"/>
        <v>6.25E-2</v>
      </c>
      <c r="X65" s="136">
        <f>+M65/F65</f>
        <v>0.125</v>
      </c>
      <c r="Y65" s="136">
        <f t="shared" si="80"/>
        <v>0.25</v>
      </c>
      <c r="Z65" s="136">
        <f>+X65*E65</f>
        <v>1.8749999999999999E-2</v>
      </c>
      <c r="AA65" s="136">
        <f>+Y65*E65</f>
        <v>3.7499999999999999E-2</v>
      </c>
      <c r="AB65" s="117"/>
      <c r="AC65" s="106"/>
    </row>
    <row r="66" spans="1:29" ht="67.2" customHeight="1" thickBot="1" x14ac:dyDescent="0.4">
      <c r="A66" s="233"/>
      <c r="B66" s="991" t="s">
        <v>1758</v>
      </c>
      <c r="C66" s="977"/>
      <c r="D66" s="235"/>
      <c r="E66" s="199">
        <v>0.15</v>
      </c>
      <c r="F66" s="183"/>
      <c r="G66" s="123"/>
      <c r="H66" s="123"/>
      <c r="I66" s="129">
        <f>+AVERAGE(I67)</f>
        <v>0.25</v>
      </c>
      <c r="J66" s="129">
        <f>+AVERAGE(J67)</f>
        <v>0.25</v>
      </c>
      <c r="K66" s="129">
        <f>+K67</f>
        <v>0.25</v>
      </c>
      <c r="L66" s="129">
        <f>+L67</f>
        <v>0.25</v>
      </c>
      <c r="M66" s="128"/>
      <c r="N66" s="128"/>
      <c r="O66" s="128"/>
      <c r="P66" s="128"/>
      <c r="Q66" s="128"/>
      <c r="R66" s="128"/>
      <c r="S66" s="128"/>
      <c r="T66" s="150">
        <f>+AVERAGE(T67)</f>
        <v>1</v>
      </c>
      <c r="U66" s="150">
        <f>+AVERAGE(U67)</f>
        <v>0.7</v>
      </c>
      <c r="V66" s="150">
        <f>+(V67)*E66</f>
        <v>0.15</v>
      </c>
      <c r="W66" s="150">
        <f>+(W67)*E66</f>
        <v>0.105</v>
      </c>
      <c r="X66" s="129">
        <f>+AVERAGE(X67)</f>
        <v>0.25</v>
      </c>
      <c r="Y66" s="129">
        <f>+AVERAGE(Y67)</f>
        <v>0.42499999999999999</v>
      </c>
      <c r="Z66" s="129">
        <f>+(Z67)*E66</f>
        <v>3.7499999999999999E-2</v>
      </c>
      <c r="AA66" s="129">
        <f>+(AA67)</f>
        <v>0.42499999999999999</v>
      </c>
      <c r="AB66" s="117"/>
      <c r="AC66" s="106"/>
    </row>
    <row r="67" spans="1:29" ht="114.6" customHeight="1" thickBot="1" x14ac:dyDescent="0.4">
      <c r="A67" s="233"/>
      <c r="B67" s="935" t="s">
        <v>1003</v>
      </c>
      <c r="C67" s="935" t="s">
        <v>1204</v>
      </c>
      <c r="D67" s="235" t="s">
        <v>997</v>
      </c>
      <c r="E67" s="195">
        <v>1</v>
      </c>
      <c r="F67" s="193">
        <v>4</v>
      </c>
      <c r="G67" s="130">
        <v>1</v>
      </c>
      <c r="H67" s="130">
        <v>1</v>
      </c>
      <c r="I67" s="136">
        <f>+G67/F67</f>
        <v>0.25</v>
      </c>
      <c r="J67" s="136">
        <f t="shared" si="69"/>
        <v>0.25</v>
      </c>
      <c r="K67" s="136">
        <f>+(G67/F67)*E67</f>
        <v>0.25</v>
      </c>
      <c r="L67" s="136">
        <f t="shared" si="70"/>
        <v>0.25</v>
      </c>
      <c r="M67" s="130">
        <v>1</v>
      </c>
      <c r="N67" s="550">
        <v>0.1</v>
      </c>
      <c r="O67" s="550">
        <v>0.25</v>
      </c>
      <c r="P67" s="550">
        <v>0.35</v>
      </c>
      <c r="Q67" s="130"/>
      <c r="R67" s="130">
        <f t="shared" ref="R67" si="81">+N67+O67+P67+Q67</f>
        <v>0.7</v>
      </c>
      <c r="S67" s="130">
        <f t="shared" ref="S67" si="82">+R67+M67</f>
        <v>1.7</v>
      </c>
      <c r="T67" s="136">
        <f>+(M67/G67)</f>
        <v>1</v>
      </c>
      <c r="U67" s="136">
        <f t="shared" ref="U67" si="83">+R67/H67</f>
        <v>0.7</v>
      </c>
      <c r="V67" s="136">
        <f>+T67*E67</f>
        <v>1</v>
      </c>
      <c r="W67" s="136">
        <f t="shared" si="79"/>
        <v>0.7</v>
      </c>
      <c r="X67" s="136">
        <f>+M67/F67</f>
        <v>0.25</v>
      </c>
      <c r="Y67" s="136">
        <f t="shared" ref="Y67" si="84">+S67/F67</f>
        <v>0.42499999999999999</v>
      </c>
      <c r="Z67" s="136">
        <f>+X67*E67</f>
        <v>0.25</v>
      </c>
      <c r="AA67" s="136">
        <f>+Y67*E67</f>
        <v>0.42499999999999999</v>
      </c>
      <c r="AB67" s="117"/>
      <c r="AC67" s="106"/>
    </row>
    <row r="68" spans="1:29" ht="67.2" customHeight="1" thickBot="1" x14ac:dyDescent="0.4">
      <c r="A68" s="233"/>
      <c r="B68" s="991" t="s">
        <v>1759</v>
      </c>
      <c r="C68" s="977"/>
      <c r="D68" s="235"/>
      <c r="E68" s="199">
        <v>0.25</v>
      </c>
      <c r="F68" s="183"/>
      <c r="G68" s="123"/>
      <c r="H68" s="123"/>
      <c r="I68" s="129">
        <f>+AVERAGE(I69:I73)</f>
        <v>0.23913043478260868</v>
      </c>
      <c r="J68" s="129">
        <f>+AVERAGE(J69:J73)</f>
        <v>0.36231884057971014</v>
      </c>
      <c r="K68" s="129">
        <f>+K69+K70+K71+K72+K73</f>
        <v>0.16684782608695653</v>
      </c>
      <c r="L68" s="129">
        <f>+L69+L70+L71+L72+L73</f>
        <v>0.34039855072463771</v>
      </c>
      <c r="M68" s="128"/>
      <c r="N68" s="128"/>
      <c r="O68" s="128"/>
      <c r="P68" s="128"/>
      <c r="Q68" s="128"/>
      <c r="R68" s="128"/>
      <c r="S68" s="128"/>
      <c r="T68" s="150">
        <f>+AVERAGE(T69:T73)</f>
        <v>0.66666666666666663</v>
      </c>
      <c r="U68" s="150">
        <f>+AVERAGE(U69:U73)</f>
        <v>0.33699999999999997</v>
      </c>
      <c r="V68" s="150">
        <f>+(V69+V70+V71+V72+V73)*E68</f>
        <v>0.1125</v>
      </c>
      <c r="W68" s="150">
        <f>+(W69+W70+W71+W72+W73)*E68</f>
        <v>8.4812499999999999E-2</v>
      </c>
      <c r="X68" s="129">
        <f>+AVERAGE(X69:X73)</f>
        <v>0.16666666666666666</v>
      </c>
      <c r="Y68" s="129">
        <f>+((Y69-X69)/5)+((Y70-X70)/5)+((Y71-X71)/5)+((Y72-X72)/5)+((Y73-X73)/5)+X68</f>
        <v>0.28116666666666668</v>
      </c>
      <c r="Z68" s="245">
        <f>+(Z69+Z70+Z71+Z72+Z73)*E68</f>
        <v>2.8125000000000001E-2</v>
      </c>
      <c r="AA68" s="245">
        <f>+(AA69+AA70+AA71+AA72+AA73)</f>
        <v>0.21999999999999997</v>
      </c>
      <c r="AB68" s="117"/>
      <c r="AC68" s="106"/>
    </row>
    <row r="69" spans="1:29" ht="67.2" customHeight="1" thickBot="1" x14ac:dyDescent="0.4">
      <c r="A69" s="233"/>
      <c r="B69" s="935" t="s">
        <v>1004</v>
      </c>
      <c r="C69" s="935" t="s">
        <v>1205</v>
      </c>
      <c r="D69" s="235" t="s">
        <v>997</v>
      </c>
      <c r="E69" s="195">
        <v>0.25</v>
      </c>
      <c r="F69" s="193">
        <v>138</v>
      </c>
      <c r="G69" s="130">
        <v>30</v>
      </c>
      <c r="H69" s="130">
        <v>43</v>
      </c>
      <c r="I69" s="136">
        <f>+G69/F69</f>
        <v>0.21739130434782608</v>
      </c>
      <c r="J69" s="136">
        <f t="shared" si="69"/>
        <v>0.31159420289855072</v>
      </c>
      <c r="K69" s="136">
        <f>+(G69/F69)*E69</f>
        <v>5.434782608695652E-2</v>
      </c>
      <c r="L69" s="136">
        <f t="shared" si="70"/>
        <v>7.789855072463768E-2</v>
      </c>
      <c r="M69" s="130">
        <v>0</v>
      </c>
      <c r="N69" s="550">
        <v>0</v>
      </c>
      <c r="O69" s="550">
        <v>0</v>
      </c>
      <c r="P69" s="550">
        <v>0</v>
      </c>
      <c r="Q69" s="130"/>
      <c r="R69" s="130">
        <f t="shared" ref="R69:R73" si="85">+N69+O69+P69+Q69</f>
        <v>0</v>
      </c>
      <c r="S69" s="130">
        <f t="shared" ref="S69:S73" si="86">+R69+M69</f>
        <v>0</v>
      </c>
      <c r="T69" s="136">
        <f>+(M69/G69)</f>
        <v>0</v>
      </c>
      <c r="U69" s="136">
        <f t="shared" ref="U69:U73" si="87">+R69/H69</f>
        <v>0</v>
      </c>
      <c r="V69" s="136">
        <f>+T69*E69</f>
        <v>0</v>
      </c>
      <c r="W69" s="136">
        <f t="shared" si="79"/>
        <v>0</v>
      </c>
      <c r="X69" s="136">
        <f>+M69/F69</f>
        <v>0</v>
      </c>
      <c r="Y69" s="136">
        <f t="shared" ref="Y69:Y73" si="88">+S69/F69</f>
        <v>0</v>
      </c>
      <c r="Z69" s="136">
        <f>+X69*E69</f>
        <v>0</v>
      </c>
      <c r="AA69" s="136">
        <f>+Y69*E69</f>
        <v>0</v>
      </c>
      <c r="AB69" s="117"/>
      <c r="AC69" s="106"/>
    </row>
    <row r="70" spans="1:29" ht="95.4" customHeight="1" thickBot="1" x14ac:dyDescent="0.4">
      <c r="A70" s="233"/>
      <c r="B70" s="935" t="s">
        <v>1005</v>
      </c>
      <c r="C70" s="935" t="s">
        <v>1206</v>
      </c>
      <c r="D70" s="235" t="s">
        <v>997</v>
      </c>
      <c r="E70" s="195">
        <v>0.25</v>
      </c>
      <c r="F70" s="193">
        <v>8</v>
      </c>
      <c r="G70" s="130">
        <v>2</v>
      </c>
      <c r="H70" s="130">
        <v>2</v>
      </c>
      <c r="I70" s="136">
        <f>+G70/F70</f>
        <v>0.25</v>
      </c>
      <c r="J70" s="136">
        <f t="shared" si="69"/>
        <v>0.25</v>
      </c>
      <c r="K70" s="136">
        <f>+(G70/F70)*E70</f>
        <v>6.25E-2</v>
      </c>
      <c r="L70" s="136">
        <f t="shared" si="70"/>
        <v>6.25E-2</v>
      </c>
      <c r="M70" s="130">
        <v>2</v>
      </c>
      <c r="N70" s="550">
        <v>0.2</v>
      </c>
      <c r="O70" s="550">
        <v>0.7</v>
      </c>
      <c r="P70" s="550">
        <v>0.4</v>
      </c>
      <c r="Q70" s="130"/>
      <c r="R70" s="130">
        <f t="shared" si="85"/>
        <v>1.2999999999999998</v>
      </c>
      <c r="S70" s="130">
        <f t="shared" si="86"/>
        <v>3.3</v>
      </c>
      <c r="T70" s="136">
        <f>+(M70/G70)</f>
        <v>1</v>
      </c>
      <c r="U70" s="136">
        <f>+R70/H70</f>
        <v>0.64999999999999991</v>
      </c>
      <c r="V70" s="136">
        <f>+T70*E70</f>
        <v>0.25</v>
      </c>
      <c r="W70" s="136">
        <f t="shared" si="79"/>
        <v>0.16249999999999998</v>
      </c>
      <c r="X70" s="136">
        <f>+M70/F70</f>
        <v>0.25</v>
      </c>
      <c r="Y70" s="136">
        <f t="shared" si="88"/>
        <v>0.41249999999999998</v>
      </c>
      <c r="Z70" s="136">
        <f>+X70*E70</f>
        <v>6.25E-2</v>
      </c>
      <c r="AA70" s="136">
        <f>+Y70*E70</f>
        <v>0.10312499999999999</v>
      </c>
      <c r="AB70" s="117"/>
      <c r="AC70" s="106"/>
    </row>
    <row r="71" spans="1:29" ht="93" customHeight="1" thickBot="1" x14ac:dyDescent="0.4">
      <c r="A71" s="233"/>
      <c r="B71" s="935" t="s">
        <v>1006</v>
      </c>
      <c r="C71" s="935" t="s">
        <v>1207</v>
      </c>
      <c r="D71" s="235" t="s">
        <v>997</v>
      </c>
      <c r="E71" s="195">
        <v>0.15</v>
      </c>
      <c r="F71" s="193">
        <v>4</v>
      </c>
      <c r="G71" s="130">
        <v>0</v>
      </c>
      <c r="H71" s="130">
        <v>2</v>
      </c>
      <c r="I71" s="136"/>
      <c r="J71" s="136">
        <f t="shared" si="69"/>
        <v>0.5</v>
      </c>
      <c r="K71" s="136"/>
      <c r="L71" s="136">
        <f t="shared" si="70"/>
        <v>7.4999999999999997E-2</v>
      </c>
      <c r="M71" s="130"/>
      <c r="N71" s="550">
        <v>0.2</v>
      </c>
      <c r="O71" s="550">
        <v>0.5</v>
      </c>
      <c r="P71" s="550">
        <v>7.0000000000000007E-2</v>
      </c>
      <c r="Q71" s="130"/>
      <c r="R71" s="130">
        <f t="shared" si="85"/>
        <v>0.77</v>
      </c>
      <c r="S71" s="130">
        <f t="shared" si="86"/>
        <v>0.77</v>
      </c>
      <c r="T71" s="136"/>
      <c r="U71" s="136">
        <f t="shared" si="87"/>
        <v>0.38500000000000001</v>
      </c>
      <c r="V71" s="136"/>
      <c r="W71" s="136">
        <f t="shared" si="79"/>
        <v>5.7749999999999996E-2</v>
      </c>
      <c r="X71" s="136"/>
      <c r="Y71" s="136">
        <f t="shared" si="88"/>
        <v>0.1925</v>
      </c>
      <c r="Z71" s="136"/>
      <c r="AA71" s="136">
        <f t="shared" ref="AA71:AA72" si="89">+Y71*E71</f>
        <v>2.8874999999999998E-2</v>
      </c>
      <c r="AB71" s="117"/>
      <c r="AC71" s="106"/>
    </row>
    <row r="72" spans="1:29" ht="85.2" customHeight="1" thickBot="1" x14ac:dyDescent="0.4">
      <c r="A72" s="233"/>
      <c r="B72" s="935" t="s">
        <v>1007</v>
      </c>
      <c r="C72" s="935" t="s">
        <v>1208</v>
      </c>
      <c r="D72" s="235" t="s">
        <v>997</v>
      </c>
      <c r="E72" s="195">
        <v>0.15</v>
      </c>
      <c r="F72" s="193">
        <v>4</v>
      </c>
      <c r="G72" s="130">
        <v>0</v>
      </c>
      <c r="H72" s="130">
        <v>2</v>
      </c>
      <c r="I72" s="136"/>
      <c r="J72" s="136">
        <f t="shared" si="69"/>
        <v>0.5</v>
      </c>
      <c r="K72" s="136"/>
      <c r="L72" s="136">
        <f t="shared" si="70"/>
        <v>7.4999999999999997E-2</v>
      </c>
      <c r="M72" s="130"/>
      <c r="N72" s="550">
        <v>0.2</v>
      </c>
      <c r="O72" s="550">
        <v>0.15</v>
      </c>
      <c r="P72" s="550">
        <v>0.09</v>
      </c>
      <c r="Q72" s="130"/>
      <c r="R72" s="130">
        <f t="shared" si="85"/>
        <v>0.43999999999999995</v>
      </c>
      <c r="S72" s="130">
        <f t="shared" si="86"/>
        <v>0.43999999999999995</v>
      </c>
      <c r="T72" s="136"/>
      <c r="U72" s="136">
        <f t="shared" si="87"/>
        <v>0.21999999999999997</v>
      </c>
      <c r="V72" s="136"/>
      <c r="W72" s="136">
        <f t="shared" si="79"/>
        <v>3.2999999999999995E-2</v>
      </c>
      <c r="X72" s="136"/>
      <c r="Y72" s="136">
        <f t="shared" si="88"/>
        <v>0.10999999999999999</v>
      </c>
      <c r="Z72" s="136"/>
      <c r="AA72" s="136">
        <f t="shared" si="89"/>
        <v>1.6499999999999997E-2</v>
      </c>
      <c r="AB72" s="117"/>
      <c r="AC72" s="106"/>
    </row>
    <row r="73" spans="1:29" ht="67.2" customHeight="1" thickBot="1" x14ac:dyDescent="0.4">
      <c r="A73" s="233"/>
      <c r="B73" s="935" t="s">
        <v>1499</v>
      </c>
      <c r="C73" s="935" t="s">
        <v>1498</v>
      </c>
      <c r="D73" s="235" t="s">
        <v>997</v>
      </c>
      <c r="E73" s="195">
        <v>0.2</v>
      </c>
      <c r="F73" s="193">
        <v>4</v>
      </c>
      <c r="G73" s="130">
        <v>1</v>
      </c>
      <c r="H73" s="130">
        <v>1</v>
      </c>
      <c r="I73" s="136">
        <f>+G73/F73</f>
        <v>0.25</v>
      </c>
      <c r="J73" s="136">
        <f t="shared" si="69"/>
        <v>0.25</v>
      </c>
      <c r="K73" s="136">
        <f>+(G73/F73)*E73</f>
        <v>0.05</v>
      </c>
      <c r="L73" s="136">
        <f t="shared" si="70"/>
        <v>0.05</v>
      </c>
      <c r="M73" s="130">
        <v>1</v>
      </c>
      <c r="N73" s="550">
        <v>0.05</v>
      </c>
      <c r="O73" s="550">
        <f>0.13-N73</f>
        <v>0.08</v>
      </c>
      <c r="P73" s="550">
        <v>0.3</v>
      </c>
      <c r="Q73" s="130"/>
      <c r="R73" s="130">
        <f t="shared" si="85"/>
        <v>0.43</v>
      </c>
      <c r="S73" s="130">
        <f t="shared" si="86"/>
        <v>1.43</v>
      </c>
      <c r="T73" s="136">
        <f>+(M73/G73)</f>
        <v>1</v>
      </c>
      <c r="U73" s="136">
        <f t="shared" si="87"/>
        <v>0.43</v>
      </c>
      <c r="V73" s="136">
        <f>+T73*E73</f>
        <v>0.2</v>
      </c>
      <c r="W73" s="136">
        <f t="shared" si="79"/>
        <v>8.6000000000000007E-2</v>
      </c>
      <c r="X73" s="136">
        <f>+M73/F73</f>
        <v>0.25</v>
      </c>
      <c r="Y73" s="136">
        <f t="shared" si="88"/>
        <v>0.35749999999999998</v>
      </c>
      <c r="Z73" s="136">
        <f>+X73*E73</f>
        <v>0.05</v>
      </c>
      <c r="AA73" s="136">
        <f>+Y73*E73</f>
        <v>7.1499999999999994E-2</v>
      </c>
      <c r="AB73" s="117"/>
      <c r="AC73" s="106"/>
    </row>
    <row r="74" spans="1:29" ht="67.2" customHeight="1" thickBot="1" x14ac:dyDescent="0.4">
      <c r="A74" s="233"/>
      <c r="B74" s="991" t="s">
        <v>1760</v>
      </c>
      <c r="C74" s="977"/>
      <c r="D74" s="235"/>
      <c r="E74" s="199">
        <v>0.1</v>
      </c>
      <c r="F74" s="183"/>
      <c r="G74" s="123"/>
      <c r="H74" s="123"/>
      <c r="I74" s="129">
        <f>+AVERAGE(I75:I76)</f>
        <v>0.25</v>
      </c>
      <c r="J74" s="129">
        <f>+AVERAGE(J75:J76)</f>
        <v>0.25</v>
      </c>
      <c r="K74" s="129">
        <f>+K75+K76</f>
        <v>0.25</v>
      </c>
      <c r="L74" s="129">
        <f>+L75+L76</f>
        <v>0.25</v>
      </c>
      <c r="M74" s="128"/>
      <c r="N74" s="128"/>
      <c r="O74" s="128"/>
      <c r="P74" s="128"/>
      <c r="Q74" s="128"/>
      <c r="R74" s="128"/>
      <c r="S74" s="128"/>
      <c r="T74" s="150">
        <f>+AVERAGE(T75:T76)</f>
        <v>1</v>
      </c>
      <c r="U74" s="150">
        <f>+AVERAGE(U75:U76)</f>
        <v>0.245</v>
      </c>
      <c r="V74" s="150">
        <f>+(V75+V76)*E74</f>
        <v>0.1</v>
      </c>
      <c r="W74" s="150">
        <f>+(W75+W76)*E74</f>
        <v>2.4500000000000001E-2</v>
      </c>
      <c r="X74" s="129">
        <f>+AVERAGE(X75:X76)</f>
        <v>0.25</v>
      </c>
      <c r="Y74" s="129">
        <f>+AVERAGE(Y75:Y76)</f>
        <v>0.31125000000000003</v>
      </c>
      <c r="Z74" s="129">
        <f>+(Z75+Z76)*E74</f>
        <v>2.5000000000000001E-2</v>
      </c>
      <c r="AA74" s="129">
        <f>+(AA75+AA76)</f>
        <v>0.31125000000000003</v>
      </c>
      <c r="AB74" s="117"/>
      <c r="AC74" s="106"/>
    </row>
    <row r="75" spans="1:29" ht="67.2" customHeight="1" thickBot="1" x14ac:dyDescent="0.4">
      <c r="A75" s="233"/>
      <c r="B75" s="935" t="s">
        <v>1008</v>
      </c>
      <c r="C75" s="935" t="s">
        <v>1209</v>
      </c>
      <c r="D75" s="235" t="s">
        <v>997</v>
      </c>
      <c r="E75" s="195">
        <v>0.5</v>
      </c>
      <c r="F75" s="193">
        <v>12</v>
      </c>
      <c r="G75" s="130">
        <v>3</v>
      </c>
      <c r="H75" s="130">
        <v>3</v>
      </c>
      <c r="I75" s="136">
        <f>+G75/F75</f>
        <v>0.25</v>
      </c>
      <c r="J75" s="136">
        <f t="shared" si="69"/>
        <v>0.25</v>
      </c>
      <c r="K75" s="136">
        <f>+(G75/F75)*E75</f>
        <v>0.125</v>
      </c>
      <c r="L75" s="136">
        <f t="shared" si="70"/>
        <v>0.125</v>
      </c>
      <c r="M75" s="130">
        <v>3</v>
      </c>
      <c r="N75" s="550">
        <v>0.15</v>
      </c>
      <c r="O75" s="550">
        <v>0.45</v>
      </c>
      <c r="P75" s="550">
        <v>0.06</v>
      </c>
      <c r="Q75" s="130"/>
      <c r="R75" s="130">
        <f t="shared" ref="R75:R76" si="90">+N75+O75+P75+Q75</f>
        <v>0.65999999999999992</v>
      </c>
      <c r="S75" s="130">
        <f t="shared" ref="S75:S76" si="91">+R75+M75</f>
        <v>3.66</v>
      </c>
      <c r="T75" s="136">
        <f>+(M75/G75)</f>
        <v>1</v>
      </c>
      <c r="U75" s="136">
        <f t="shared" ref="U75:U76" si="92">+R75/H75</f>
        <v>0.21999999999999997</v>
      </c>
      <c r="V75" s="136">
        <f>+T75*E75</f>
        <v>0.5</v>
      </c>
      <c r="W75" s="136">
        <f t="shared" si="79"/>
        <v>0.10999999999999999</v>
      </c>
      <c r="X75" s="136">
        <f>+M75/F75</f>
        <v>0.25</v>
      </c>
      <c r="Y75" s="136">
        <f t="shared" ref="Y75:Y76" si="93">+S75/F75</f>
        <v>0.30499999999999999</v>
      </c>
      <c r="Z75" s="136">
        <f>+X75*E75</f>
        <v>0.125</v>
      </c>
      <c r="AA75" s="136">
        <f>+Y75*E75</f>
        <v>0.1525</v>
      </c>
      <c r="AB75" s="117"/>
      <c r="AC75" s="106"/>
    </row>
    <row r="76" spans="1:29" ht="67.2" customHeight="1" thickBot="1" x14ac:dyDescent="0.4">
      <c r="A76" s="233"/>
      <c r="B76" s="935" t="s">
        <v>1009</v>
      </c>
      <c r="C76" s="935" t="s">
        <v>1210</v>
      </c>
      <c r="D76" s="235" t="s">
        <v>997</v>
      </c>
      <c r="E76" s="195">
        <v>0.5</v>
      </c>
      <c r="F76" s="193">
        <v>4</v>
      </c>
      <c r="G76" s="130">
        <v>1</v>
      </c>
      <c r="H76" s="130">
        <v>1</v>
      </c>
      <c r="I76" s="136">
        <f>+G76/F76</f>
        <v>0.25</v>
      </c>
      <c r="J76" s="136">
        <f t="shared" si="69"/>
        <v>0.25</v>
      </c>
      <c r="K76" s="136">
        <f>+(G76/F76)*E76</f>
        <v>0.125</v>
      </c>
      <c r="L76" s="136">
        <f t="shared" si="70"/>
        <v>0.125</v>
      </c>
      <c r="M76" s="130">
        <v>1</v>
      </c>
      <c r="N76" s="550">
        <v>0.1</v>
      </c>
      <c r="O76" s="550">
        <v>0.15</v>
      </c>
      <c r="P76" s="550">
        <v>0.02</v>
      </c>
      <c r="Q76" s="130"/>
      <c r="R76" s="130">
        <f t="shared" si="90"/>
        <v>0.27</v>
      </c>
      <c r="S76" s="130">
        <f t="shared" si="91"/>
        <v>1.27</v>
      </c>
      <c r="T76" s="136">
        <f>+(M76/G76)</f>
        <v>1</v>
      </c>
      <c r="U76" s="136">
        <f t="shared" si="92"/>
        <v>0.27</v>
      </c>
      <c r="V76" s="136">
        <f>+T76*E76</f>
        <v>0.5</v>
      </c>
      <c r="W76" s="136">
        <f t="shared" si="79"/>
        <v>0.13500000000000001</v>
      </c>
      <c r="X76" s="136">
        <f>+M76/F76</f>
        <v>0.25</v>
      </c>
      <c r="Y76" s="136">
        <f t="shared" si="93"/>
        <v>0.3175</v>
      </c>
      <c r="Z76" s="136">
        <f>+X76*E76</f>
        <v>0.125</v>
      </c>
      <c r="AA76" s="136">
        <f>+Y76*E76</f>
        <v>0.15875</v>
      </c>
      <c r="AB76" s="117"/>
      <c r="AC76" s="106"/>
    </row>
    <row r="77" spans="1:29" ht="67.2" customHeight="1" thickBot="1" x14ac:dyDescent="0.4">
      <c r="A77" s="233"/>
      <c r="B77" s="985" t="s">
        <v>1761</v>
      </c>
      <c r="C77" s="977"/>
      <c r="D77" s="235"/>
      <c r="E77" s="201">
        <v>0.15</v>
      </c>
      <c r="F77" s="236">
        <f>E77*V77</f>
        <v>8.2600999999999994E-2</v>
      </c>
      <c r="G77" s="123"/>
      <c r="H77" s="236">
        <f>+E77*W77</f>
        <v>5.8054909090909074E-2</v>
      </c>
      <c r="I77" s="121">
        <f>+(I78+I85+I92+I94+I99+I105)/5</f>
        <v>0.25436567555113532</v>
      </c>
      <c r="J77" s="121">
        <f>+(J78+J85+J92+J94+J99+J105)/6</f>
        <v>0.31832393913396156</v>
      </c>
      <c r="K77" s="122">
        <f>+(K78+K85+K92+K94+K99+K105)/5</f>
        <v>0.23789244132935511</v>
      </c>
      <c r="L77" s="122">
        <f>+(L78+L85+L92+L94+L99+L105)/6</f>
        <v>0.30079710077612098</v>
      </c>
      <c r="M77" s="123"/>
      <c r="N77" s="123"/>
      <c r="O77" s="123"/>
      <c r="P77" s="123"/>
      <c r="Q77" s="123"/>
      <c r="R77" s="123"/>
      <c r="S77" s="123"/>
      <c r="T77" s="121">
        <f>+(T78+T85+T92+T94+T99+T105)/5</f>
        <v>0.85431111111111113</v>
      </c>
      <c r="U77" s="121">
        <f>+(U78+U85+U92+U94+U99+U105)/6</f>
        <v>0.38034472502805833</v>
      </c>
      <c r="V77" s="122">
        <f>+V78+V85+V92+V94+V99+V105</f>
        <v>0.55067333333333335</v>
      </c>
      <c r="W77" s="122">
        <f>+W78+W85+W92+W94+W99+W105</f>
        <v>0.3870327272727272</v>
      </c>
      <c r="X77" s="121">
        <f>+(X78+X85+X92+X94+X99+X105)/6</f>
        <v>0.17211584073705719</v>
      </c>
      <c r="Y77" s="121">
        <f>+(Y78+Y85+Y92+Y94+Y99+Y105)/6</f>
        <v>0.30357737763446097</v>
      </c>
      <c r="Z77" s="237">
        <f>+(Z78+Z85+Z92+Z94+Z99+Z105)</f>
        <v>0.15231066433034965</v>
      </c>
      <c r="AA77" s="237">
        <f>+(AA78*E78+AA85*E85+AA92*E92+AA94*E94+AA99*E99+AA105*E105)</f>
        <v>0.29541475921724675</v>
      </c>
      <c r="AB77" s="117"/>
      <c r="AC77" s="106"/>
    </row>
    <row r="78" spans="1:29" ht="67.2" customHeight="1" thickBot="1" x14ac:dyDescent="0.4">
      <c r="A78" s="233"/>
      <c r="B78" s="991" t="s">
        <v>1699</v>
      </c>
      <c r="C78" s="977"/>
      <c r="D78" s="235"/>
      <c r="E78" s="199">
        <v>0.15</v>
      </c>
      <c r="F78" s="183"/>
      <c r="G78" s="123"/>
      <c r="H78" s="123"/>
      <c r="I78" s="129">
        <f>+AVERAGE(I79:I84)</f>
        <v>0.35243948886678761</v>
      </c>
      <c r="J78" s="129">
        <f>+AVERAGE(J79:J84)</f>
        <v>0.4932769681371027</v>
      </c>
      <c r="K78" s="129">
        <f>+K79+K80+K81+K82+K83+K84</f>
        <v>0.34219553998010876</v>
      </c>
      <c r="L78" s="129">
        <f>+L79+L80+L81+L82+L83+L84</f>
        <v>0.53394927132339243</v>
      </c>
      <c r="M78" s="128"/>
      <c r="N78" s="128"/>
      <c r="O78" s="128"/>
      <c r="P78" s="128"/>
      <c r="Q78" s="128"/>
      <c r="R78" s="128"/>
      <c r="S78" s="128"/>
      <c r="T78" s="150">
        <f>+AVERAGE(T79:T84)</f>
        <v>0.9</v>
      </c>
      <c r="U78" s="150">
        <f>+AVERAGE(U79:U84)</f>
        <v>0.63516835016835016</v>
      </c>
      <c r="V78" s="150">
        <f>+(V79+V80+V81+V82+V83+V84)*E78</f>
        <v>0.1275</v>
      </c>
      <c r="W78" s="150">
        <f>+(W79+W80+W81+W82+W83+W84)*E78</f>
        <v>9.4081060606060599E-2</v>
      </c>
      <c r="X78" s="129">
        <f>+AVERAGE(X79:X84)</f>
        <v>0.32743948886678759</v>
      </c>
      <c r="Y78" s="129">
        <f>+AVERAGE(Y79:Y84)</f>
        <v>0.61427537691787693</v>
      </c>
      <c r="Z78" s="129">
        <f>+(Z79+Z80+Z81+Z82+Z83+Z84)*E78</f>
        <v>4.5704330997016318E-2</v>
      </c>
      <c r="AA78" s="129">
        <f>+(AA79+AA80+AA81+AA82+AA83+AA84)</f>
        <v>0.61284783922608921</v>
      </c>
      <c r="AB78" s="117"/>
      <c r="AC78" s="106"/>
    </row>
    <row r="79" spans="1:29" ht="107.4" customHeight="1" thickBot="1" x14ac:dyDescent="0.4">
      <c r="A79" s="233"/>
      <c r="B79" s="935" t="s">
        <v>1010</v>
      </c>
      <c r="C79" s="935" t="s">
        <v>1211</v>
      </c>
      <c r="D79" s="235" t="s">
        <v>1011</v>
      </c>
      <c r="E79" s="195">
        <v>0.15</v>
      </c>
      <c r="F79" s="193">
        <v>209</v>
      </c>
      <c r="G79" s="130">
        <v>53</v>
      </c>
      <c r="H79" s="130">
        <v>53</v>
      </c>
      <c r="I79" s="136">
        <f t="shared" ref="I79:I84" si="94">+G79/F79</f>
        <v>0.25358851674641147</v>
      </c>
      <c r="J79" s="136">
        <f t="shared" ref="J79:J84" si="95">+H79/F79</f>
        <v>0.25358851674641147</v>
      </c>
      <c r="K79" s="136">
        <f t="shared" ref="K79:K84" si="96">+(G79/F79)*E79</f>
        <v>3.8038277511961718E-2</v>
      </c>
      <c r="L79" s="136">
        <f t="shared" ref="L79:L84" si="97">+(H79/F79)*E79</f>
        <v>3.8038277511961718E-2</v>
      </c>
      <c r="M79" s="246">
        <v>53</v>
      </c>
      <c r="N79" s="576">
        <v>0</v>
      </c>
      <c r="O79" s="576">
        <v>48</v>
      </c>
      <c r="P79" s="576">
        <v>12</v>
      </c>
      <c r="Q79" s="246"/>
      <c r="R79" s="246">
        <f t="shared" ref="R79:R84" si="98">+N79+O79+P79+Q79</f>
        <v>60</v>
      </c>
      <c r="S79" s="246">
        <f t="shared" ref="S79:S84" si="99">+R79+M79</f>
        <v>113</v>
      </c>
      <c r="T79" s="152">
        <f>+(M79/G79)</f>
        <v>1</v>
      </c>
      <c r="U79" s="152">
        <v>1</v>
      </c>
      <c r="V79" s="152">
        <f t="shared" ref="V79:V84" si="100">+T79*E79</f>
        <v>0.15</v>
      </c>
      <c r="W79" s="152">
        <f t="shared" ref="W79:W84" si="101">+U79*E79</f>
        <v>0.15</v>
      </c>
      <c r="X79" s="152">
        <f t="shared" ref="X79:X84" si="102">+M79/F79</f>
        <v>0.25358851674641147</v>
      </c>
      <c r="Y79" s="152">
        <f t="shared" ref="Y79:Y84" si="103">+S79/F79</f>
        <v>0.54066985645933019</v>
      </c>
      <c r="Z79" s="138">
        <f t="shared" ref="Z79:Z84" si="104">+X79*E79</f>
        <v>3.8038277511961718E-2</v>
      </c>
      <c r="AA79" s="138">
        <f t="shared" ref="AA79:AA84" si="105">+Y79*E79</f>
        <v>8.110047846889952E-2</v>
      </c>
      <c r="AB79" s="117"/>
      <c r="AC79" s="106"/>
    </row>
    <row r="80" spans="1:29" ht="117" customHeight="1" thickBot="1" x14ac:dyDescent="0.4">
      <c r="A80" s="233"/>
      <c r="B80" s="935" t="s">
        <v>1012</v>
      </c>
      <c r="C80" s="935" t="s">
        <v>1212</v>
      </c>
      <c r="D80" s="235" t="s">
        <v>1011</v>
      </c>
      <c r="E80" s="195">
        <v>0.15</v>
      </c>
      <c r="F80" s="193">
        <v>328</v>
      </c>
      <c r="G80" s="130">
        <v>150</v>
      </c>
      <c r="H80" s="130">
        <v>150</v>
      </c>
      <c r="I80" s="136">
        <f t="shared" si="94"/>
        <v>0.45731707317073172</v>
      </c>
      <c r="J80" s="136">
        <f t="shared" si="95"/>
        <v>0.45731707317073172</v>
      </c>
      <c r="K80" s="136">
        <f t="shared" si="96"/>
        <v>6.8597560975609762E-2</v>
      </c>
      <c r="L80" s="136">
        <f t="shared" si="97"/>
        <v>6.8597560975609762E-2</v>
      </c>
      <c r="M80" s="246">
        <v>150</v>
      </c>
      <c r="N80" s="576">
        <v>150</v>
      </c>
      <c r="O80" s="576">
        <v>0</v>
      </c>
      <c r="P80" s="576">
        <v>0</v>
      </c>
      <c r="Q80" s="246"/>
      <c r="R80" s="246">
        <f t="shared" si="98"/>
        <v>150</v>
      </c>
      <c r="S80" s="246">
        <f t="shared" si="99"/>
        <v>300</v>
      </c>
      <c r="T80" s="152">
        <v>1</v>
      </c>
      <c r="U80" s="152">
        <f t="shared" ref="U80:U84" si="106">+R80/H80</f>
        <v>1</v>
      </c>
      <c r="V80" s="152">
        <f t="shared" si="100"/>
        <v>0.15</v>
      </c>
      <c r="W80" s="152">
        <f t="shared" si="101"/>
        <v>0.15</v>
      </c>
      <c r="X80" s="152">
        <f t="shared" si="102"/>
        <v>0.45731707317073172</v>
      </c>
      <c r="Y80" s="152">
        <f t="shared" si="103"/>
        <v>0.91463414634146345</v>
      </c>
      <c r="Z80" s="138">
        <f t="shared" si="104"/>
        <v>6.8597560975609762E-2</v>
      </c>
      <c r="AA80" s="138">
        <f t="shared" si="105"/>
        <v>0.13719512195121952</v>
      </c>
      <c r="AB80" s="117"/>
      <c r="AC80" s="106"/>
    </row>
    <row r="81" spans="1:29" ht="93.6" customHeight="1" thickBot="1" x14ac:dyDescent="0.4">
      <c r="A81" s="233"/>
      <c r="B81" s="935" t="s">
        <v>1013</v>
      </c>
      <c r="C81" s="935" t="s">
        <v>1213</v>
      </c>
      <c r="D81" s="235" t="s">
        <v>1011</v>
      </c>
      <c r="E81" s="195">
        <v>0.15</v>
      </c>
      <c r="F81" s="193">
        <v>402</v>
      </c>
      <c r="G81" s="130">
        <v>102</v>
      </c>
      <c r="H81" s="130">
        <v>100</v>
      </c>
      <c r="I81" s="136">
        <f t="shared" si="94"/>
        <v>0.2537313432835821</v>
      </c>
      <c r="J81" s="136">
        <f t="shared" si="95"/>
        <v>0.24875621890547264</v>
      </c>
      <c r="K81" s="136">
        <f t="shared" si="96"/>
        <v>3.8059701492537311E-2</v>
      </c>
      <c r="L81" s="136">
        <f t="shared" si="97"/>
        <v>3.7313432835820892E-2</v>
      </c>
      <c r="M81" s="246">
        <v>102</v>
      </c>
      <c r="N81" s="576">
        <v>26</v>
      </c>
      <c r="O81" s="576">
        <v>21</v>
      </c>
      <c r="P81" s="576">
        <v>24</v>
      </c>
      <c r="Q81" s="246"/>
      <c r="R81" s="246">
        <f t="shared" si="98"/>
        <v>71</v>
      </c>
      <c r="S81" s="246">
        <f t="shared" si="99"/>
        <v>173</v>
      </c>
      <c r="T81" s="152">
        <f>+(M81/G81)</f>
        <v>1</v>
      </c>
      <c r="U81" s="152">
        <f t="shared" si="106"/>
        <v>0.71</v>
      </c>
      <c r="V81" s="152">
        <f t="shared" si="100"/>
        <v>0.15</v>
      </c>
      <c r="W81" s="152">
        <f t="shared" si="101"/>
        <v>0.1065</v>
      </c>
      <c r="X81" s="152">
        <f t="shared" si="102"/>
        <v>0.2537313432835821</v>
      </c>
      <c r="Y81" s="152">
        <f t="shared" si="103"/>
        <v>0.43034825870646765</v>
      </c>
      <c r="Z81" s="138">
        <f t="shared" si="104"/>
        <v>3.8059701492537311E-2</v>
      </c>
      <c r="AA81" s="138">
        <f t="shared" si="105"/>
        <v>6.455223880597015E-2</v>
      </c>
      <c r="AB81" s="117"/>
      <c r="AC81" s="106"/>
    </row>
    <row r="82" spans="1:29" ht="97.2" customHeight="1" thickBot="1" x14ac:dyDescent="0.4">
      <c r="A82" s="233"/>
      <c r="B82" s="935" t="s">
        <v>1014</v>
      </c>
      <c r="C82" s="935" t="s">
        <v>1214</v>
      </c>
      <c r="D82" s="235" t="s">
        <v>1011</v>
      </c>
      <c r="E82" s="195">
        <v>0.15</v>
      </c>
      <c r="F82" s="193">
        <v>1</v>
      </c>
      <c r="G82" s="203">
        <v>0.45</v>
      </c>
      <c r="H82" s="203">
        <v>0.55000000000000004</v>
      </c>
      <c r="I82" s="136">
        <f t="shared" si="94"/>
        <v>0.45</v>
      </c>
      <c r="J82" s="136">
        <f t="shared" si="95"/>
        <v>0.55000000000000004</v>
      </c>
      <c r="K82" s="136">
        <f t="shared" si="96"/>
        <v>6.7500000000000004E-2</v>
      </c>
      <c r="L82" s="136">
        <f t="shared" si="97"/>
        <v>8.2500000000000004E-2</v>
      </c>
      <c r="M82" s="247">
        <v>0.45</v>
      </c>
      <c r="N82" s="577">
        <v>0</v>
      </c>
      <c r="O82" s="577">
        <v>0.05</v>
      </c>
      <c r="P82" s="577">
        <v>0</v>
      </c>
      <c r="Q82" s="247"/>
      <c r="R82" s="247">
        <f t="shared" si="98"/>
        <v>0.05</v>
      </c>
      <c r="S82" s="247">
        <f t="shared" si="99"/>
        <v>0.5</v>
      </c>
      <c r="T82" s="152">
        <v>1</v>
      </c>
      <c r="U82" s="152">
        <f t="shared" si="106"/>
        <v>9.0909090909090912E-2</v>
      </c>
      <c r="V82" s="152">
        <f t="shared" si="100"/>
        <v>0.15</v>
      </c>
      <c r="W82" s="152">
        <f t="shared" si="101"/>
        <v>1.3636363636363636E-2</v>
      </c>
      <c r="X82" s="152">
        <f t="shared" si="102"/>
        <v>0.45</v>
      </c>
      <c r="Y82" s="152">
        <f t="shared" si="103"/>
        <v>0.5</v>
      </c>
      <c r="Z82" s="138">
        <f t="shared" si="104"/>
        <v>6.7500000000000004E-2</v>
      </c>
      <c r="AA82" s="138">
        <f t="shared" si="105"/>
        <v>7.4999999999999997E-2</v>
      </c>
      <c r="AB82" s="117"/>
      <c r="AC82" s="106"/>
    </row>
    <row r="83" spans="1:29" ht="137.4" customHeight="1" thickBot="1" x14ac:dyDescent="0.4">
      <c r="A83" s="233"/>
      <c r="B83" s="935" t="s">
        <v>1015</v>
      </c>
      <c r="C83" s="935" t="s">
        <v>1215</v>
      </c>
      <c r="D83" s="235" t="s">
        <v>1011</v>
      </c>
      <c r="E83" s="195">
        <v>0.15</v>
      </c>
      <c r="F83" s="193">
        <v>1</v>
      </c>
      <c r="G83" s="130">
        <v>0.45</v>
      </c>
      <c r="H83" s="130">
        <v>0.55000000000000004</v>
      </c>
      <c r="I83" s="136">
        <f t="shared" si="94"/>
        <v>0.45</v>
      </c>
      <c r="J83" s="136">
        <f t="shared" si="95"/>
        <v>0.55000000000000004</v>
      </c>
      <c r="K83" s="136">
        <f t="shared" si="96"/>
        <v>6.7500000000000004E-2</v>
      </c>
      <c r="L83" s="136">
        <f t="shared" si="97"/>
        <v>8.2500000000000004E-2</v>
      </c>
      <c r="M83" s="247">
        <v>0.45</v>
      </c>
      <c r="N83" s="577">
        <v>0</v>
      </c>
      <c r="O83" s="577">
        <v>0.25</v>
      </c>
      <c r="P83" s="577">
        <v>0</v>
      </c>
      <c r="Q83" s="247"/>
      <c r="R83" s="247">
        <f t="shared" si="98"/>
        <v>0.25</v>
      </c>
      <c r="S83" s="247">
        <f t="shared" si="99"/>
        <v>0.7</v>
      </c>
      <c r="T83" s="152">
        <f>+(M83/G83)</f>
        <v>1</v>
      </c>
      <c r="U83" s="152">
        <f t="shared" si="106"/>
        <v>0.45454545454545453</v>
      </c>
      <c r="V83" s="152">
        <f t="shared" si="100"/>
        <v>0.15</v>
      </c>
      <c r="W83" s="152">
        <f t="shared" si="101"/>
        <v>6.8181818181818177E-2</v>
      </c>
      <c r="X83" s="152">
        <f t="shared" si="102"/>
        <v>0.45</v>
      </c>
      <c r="Y83" s="152">
        <f t="shared" si="103"/>
        <v>0.7</v>
      </c>
      <c r="Z83" s="138">
        <f t="shared" si="104"/>
        <v>6.7500000000000004E-2</v>
      </c>
      <c r="AA83" s="138">
        <f t="shared" si="105"/>
        <v>0.105</v>
      </c>
      <c r="AB83" s="117"/>
      <c r="AC83" s="106"/>
    </row>
    <row r="84" spans="1:29" ht="133.19999999999999" customHeight="1" thickBot="1" x14ac:dyDescent="0.4">
      <c r="A84" s="233"/>
      <c r="B84" s="935" t="s">
        <v>1016</v>
      </c>
      <c r="C84" s="935" t="s">
        <v>1216</v>
      </c>
      <c r="D84" s="235" t="s">
        <v>1011</v>
      </c>
      <c r="E84" s="195">
        <v>0.25</v>
      </c>
      <c r="F84" s="193">
        <v>1</v>
      </c>
      <c r="G84" s="130">
        <v>0.25</v>
      </c>
      <c r="H84" s="130">
        <v>0.9</v>
      </c>
      <c r="I84" s="136">
        <f t="shared" si="94"/>
        <v>0.25</v>
      </c>
      <c r="J84" s="136">
        <f t="shared" si="95"/>
        <v>0.9</v>
      </c>
      <c r="K84" s="136">
        <f t="shared" si="96"/>
        <v>6.25E-2</v>
      </c>
      <c r="L84" s="136">
        <f t="shared" si="97"/>
        <v>0.22500000000000001</v>
      </c>
      <c r="M84" s="247">
        <v>0.1</v>
      </c>
      <c r="N84" s="577">
        <v>0</v>
      </c>
      <c r="O84" s="577">
        <v>0.5</v>
      </c>
      <c r="P84" s="577">
        <v>0</v>
      </c>
      <c r="Q84" s="247"/>
      <c r="R84" s="247">
        <f t="shared" si="98"/>
        <v>0.5</v>
      </c>
      <c r="S84" s="247">
        <f t="shared" si="99"/>
        <v>0.6</v>
      </c>
      <c r="T84" s="152">
        <f>+(M84/G84)</f>
        <v>0.4</v>
      </c>
      <c r="U84" s="152">
        <f t="shared" si="106"/>
        <v>0.55555555555555558</v>
      </c>
      <c r="V84" s="152">
        <f t="shared" si="100"/>
        <v>0.1</v>
      </c>
      <c r="W84" s="152">
        <f t="shared" si="101"/>
        <v>0.1388888888888889</v>
      </c>
      <c r="X84" s="152">
        <f t="shared" si="102"/>
        <v>0.1</v>
      </c>
      <c r="Y84" s="152">
        <f t="shared" si="103"/>
        <v>0.6</v>
      </c>
      <c r="Z84" s="138">
        <f t="shared" si="104"/>
        <v>2.5000000000000001E-2</v>
      </c>
      <c r="AA84" s="138">
        <f t="shared" si="105"/>
        <v>0.15</v>
      </c>
      <c r="AB84" s="117"/>
      <c r="AC84" s="106"/>
    </row>
    <row r="85" spans="1:29" ht="67.2" customHeight="1" thickBot="1" x14ac:dyDescent="0.4">
      <c r="A85" s="233"/>
      <c r="B85" s="991" t="s">
        <v>1700</v>
      </c>
      <c r="C85" s="977"/>
      <c r="D85" s="235"/>
      <c r="E85" s="199">
        <v>0.3</v>
      </c>
      <c r="F85" s="183"/>
      <c r="G85" s="123"/>
      <c r="H85" s="123"/>
      <c r="I85" s="129">
        <f>+AVERAGE(I86:I91)*((1/6)*2)</f>
        <v>0.17916666666666664</v>
      </c>
      <c r="J85" s="129">
        <f>+AVERAGE(J86:J91)</f>
        <v>0.23749999999999999</v>
      </c>
      <c r="K85" s="129">
        <f>+K86+K87+K88+K89+K90+K91</f>
        <v>0.14250000000000002</v>
      </c>
      <c r="L85" s="129">
        <f>+L86+L87+L88+L89+L90+L91</f>
        <v>0.16</v>
      </c>
      <c r="M85" s="128"/>
      <c r="N85" s="128"/>
      <c r="O85" s="128"/>
      <c r="P85" s="128"/>
      <c r="Q85" s="128"/>
      <c r="R85" s="128"/>
      <c r="S85" s="128"/>
      <c r="T85" s="150">
        <f>+AVERAGE(T86:T91)</f>
        <v>0.88888888888888884</v>
      </c>
      <c r="U85" s="150">
        <f>+AVERAGE(U86:U91)</f>
        <v>0.17916666666666667</v>
      </c>
      <c r="V85" s="150">
        <f>+(V86+V87+V88+V89+V90+V91)*E85</f>
        <v>0.11333333333333333</v>
      </c>
      <c r="W85" s="150">
        <f>+(W86+W87+W88+W89+W90+W91)*E85</f>
        <v>6.4500000000000002E-2</v>
      </c>
      <c r="X85" s="129">
        <f>+AVERAGE(X86:X91)*((1/6)*2)</f>
        <v>0.14999999999999997</v>
      </c>
      <c r="Y85" s="129">
        <f>+X85+((Y87-X87)/6)+((Y90-X90)/6)+(Y86/6)+(Y88/6)+(Y89/6)+(Y91/6)</f>
        <v>0.18583333333333329</v>
      </c>
      <c r="Z85" s="129">
        <f>+(Z86+Z87+Z88+Z89+Z90+Z91)*E85</f>
        <v>3.9E-2</v>
      </c>
      <c r="AA85" s="129">
        <f>+(AA86+AA87+AA88+AA89+AA90+AA91)</f>
        <v>0.19449999999999998</v>
      </c>
      <c r="AB85" s="117"/>
      <c r="AC85" s="106"/>
    </row>
    <row r="86" spans="1:29" ht="83.4" customHeight="1" thickBot="1" x14ac:dyDescent="0.4">
      <c r="A86" s="233"/>
      <c r="B86" s="935" t="s">
        <v>1017</v>
      </c>
      <c r="C86" s="935" t="s">
        <v>1217</v>
      </c>
      <c r="D86" s="235" t="s">
        <v>1011</v>
      </c>
      <c r="E86" s="195">
        <v>0.4</v>
      </c>
      <c r="F86" s="193">
        <v>300</v>
      </c>
      <c r="G86" s="130">
        <v>0</v>
      </c>
      <c r="H86" s="130">
        <v>5</v>
      </c>
      <c r="I86" s="136"/>
      <c r="J86" s="136">
        <f t="shared" ref="J86:J90" si="107">+H86/F86</f>
        <v>1.6666666666666666E-2</v>
      </c>
      <c r="K86" s="136"/>
      <c r="L86" s="136">
        <f t="shared" ref="L86:L90" si="108">+(H86/F86)*E86</f>
        <v>6.6666666666666671E-3</v>
      </c>
      <c r="M86" s="130"/>
      <c r="N86" s="550">
        <v>0</v>
      </c>
      <c r="O86" s="550">
        <v>0</v>
      </c>
      <c r="P86" s="550">
        <v>0</v>
      </c>
      <c r="Q86" s="130"/>
      <c r="R86" s="130">
        <f t="shared" ref="R86:R91" si="109">+N86+O86+P86+Q86</f>
        <v>0</v>
      </c>
      <c r="S86" s="130">
        <f t="shared" ref="S86:S91" si="110">+R86+M86</f>
        <v>0</v>
      </c>
      <c r="T86" s="152"/>
      <c r="U86" s="152">
        <f t="shared" ref="U86:U90" si="111">+R86/H86</f>
        <v>0</v>
      </c>
      <c r="V86" s="152"/>
      <c r="W86" s="152">
        <f>+U86*E86</f>
        <v>0</v>
      </c>
      <c r="X86" s="152"/>
      <c r="Y86" s="152">
        <f>+S86/F86</f>
        <v>0</v>
      </c>
      <c r="Z86" s="136"/>
      <c r="AA86" s="136">
        <f t="shared" ref="AA86:AA91" si="112">+Y86*E86</f>
        <v>0</v>
      </c>
      <c r="AB86" s="117"/>
      <c r="AC86" s="106"/>
    </row>
    <row r="87" spans="1:29" ht="67.2" customHeight="1" thickBot="1" x14ac:dyDescent="0.4">
      <c r="A87" s="233"/>
      <c r="B87" s="935" t="s">
        <v>1018</v>
      </c>
      <c r="C87" s="935" t="s">
        <v>1218</v>
      </c>
      <c r="D87" s="235" t="s">
        <v>1011</v>
      </c>
      <c r="E87" s="195">
        <v>0.1</v>
      </c>
      <c r="F87" s="193">
        <v>100</v>
      </c>
      <c r="G87" s="130">
        <v>90</v>
      </c>
      <c r="H87" s="130">
        <v>30</v>
      </c>
      <c r="I87" s="136">
        <f t="shared" ref="I87" si="113">+G87/F87</f>
        <v>0.9</v>
      </c>
      <c r="J87" s="136">
        <f t="shared" si="107"/>
        <v>0.3</v>
      </c>
      <c r="K87" s="136">
        <f t="shared" ref="K87" si="114">+(G87/F87)*E87</f>
        <v>9.0000000000000011E-2</v>
      </c>
      <c r="L87" s="136">
        <f t="shared" si="108"/>
        <v>0.03</v>
      </c>
      <c r="M87" s="130">
        <v>70</v>
      </c>
      <c r="N87" s="550">
        <v>0</v>
      </c>
      <c r="O87" s="550">
        <v>0</v>
      </c>
      <c r="P87" s="550">
        <v>0</v>
      </c>
      <c r="Q87" s="130"/>
      <c r="R87" s="130">
        <f t="shared" si="109"/>
        <v>0</v>
      </c>
      <c r="S87" s="130">
        <f t="shared" si="110"/>
        <v>70</v>
      </c>
      <c r="T87" s="152">
        <f>+(M87/G87)</f>
        <v>0.77777777777777779</v>
      </c>
      <c r="U87" s="152">
        <f t="shared" si="111"/>
        <v>0</v>
      </c>
      <c r="V87" s="152">
        <f>+T87*E87</f>
        <v>7.7777777777777779E-2</v>
      </c>
      <c r="W87" s="152">
        <f t="shared" ref="W87:W90" si="115">+U87*E87</f>
        <v>0</v>
      </c>
      <c r="X87" s="152">
        <f>+M87/F87</f>
        <v>0.7</v>
      </c>
      <c r="Y87" s="152">
        <f t="shared" ref="Y87:Y91" si="116">+S87/F87</f>
        <v>0.7</v>
      </c>
      <c r="Z87" s="136">
        <f>+X87*E87</f>
        <v>6.9999999999999993E-2</v>
      </c>
      <c r="AA87" s="136">
        <f t="shared" si="112"/>
        <v>6.9999999999999993E-2</v>
      </c>
      <c r="AB87" s="117"/>
      <c r="AC87" s="106"/>
    </row>
    <row r="88" spans="1:29" ht="91.2" customHeight="1" thickBot="1" x14ac:dyDescent="0.4">
      <c r="A88" s="233"/>
      <c r="B88" s="935" t="s">
        <v>1019</v>
      </c>
      <c r="C88" s="935" t="s">
        <v>1219</v>
      </c>
      <c r="D88" s="235" t="s">
        <v>1011</v>
      </c>
      <c r="E88" s="195">
        <v>0.1</v>
      </c>
      <c r="F88" s="193">
        <v>3</v>
      </c>
      <c r="G88" s="130">
        <v>0</v>
      </c>
      <c r="H88" s="130">
        <v>1</v>
      </c>
      <c r="I88" s="136"/>
      <c r="J88" s="136">
        <f t="shared" si="107"/>
        <v>0.33333333333333331</v>
      </c>
      <c r="K88" s="136"/>
      <c r="L88" s="136">
        <f t="shared" si="108"/>
        <v>3.3333333333333333E-2</v>
      </c>
      <c r="M88" s="130"/>
      <c r="N88" s="550">
        <v>0</v>
      </c>
      <c r="O88" s="550">
        <v>0</v>
      </c>
      <c r="P88" s="550">
        <v>0</v>
      </c>
      <c r="Q88" s="130"/>
      <c r="R88" s="130">
        <f t="shared" si="109"/>
        <v>0</v>
      </c>
      <c r="S88" s="130">
        <f t="shared" si="110"/>
        <v>0</v>
      </c>
      <c r="T88" s="152"/>
      <c r="U88" s="152">
        <f t="shared" si="111"/>
        <v>0</v>
      </c>
      <c r="V88" s="152"/>
      <c r="W88" s="152">
        <f t="shared" si="115"/>
        <v>0</v>
      </c>
      <c r="X88" s="152"/>
      <c r="Y88" s="152">
        <f t="shared" si="116"/>
        <v>0</v>
      </c>
      <c r="Z88" s="136"/>
      <c r="AA88" s="136">
        <f t="shared" si="112"/>
        <v>0</v>
      </c>
      <c r="AB88" s="117"/>
      <c r="AC88" s="106"/>
    </row>
    <row r="89" spans="1:29" ht="67.2" customHeight="1" thickBot="1" x14ac:dyDescent="0.4">
      <c r="A89" s="233"/>
      <c r="B89" s="935" t="s">
        <v>1020</v>
      </c>
      <c r="C89" s="935" t="s">
        <v>1220</v>
      </c>
      <c r="D89" s="235" t="s">
        <v>1011</v>
      </c>
      <c r="E89" s="195">
        <v>0.05</v>
      </c>
      <c r="F89" s="193">
        <v>1</v>
      </c>
      <c r="G89" s="130">
        <v>0</v>
      </c>
      <c r="H89" s="130">
        <v>0</v>
      </c>
      <c r="I89" s="136"/>
      <c r="J89" s="136"/>
      <c r="K89" s="136"/>
      <c r="L89" s="136"/>
      <c r="M89" s="130"/>
      <c r="N89" s="550"/>
      <c r="O89" s="550"/>
      <c r="P89" s="550"/>
      <c r="Q89" s="130"/>
      <c r="R89" s="130">
        <f t="shared" si="109"/>
        <v>0</v>
      </c>
      <c r="S89" s="130">
        <f t="shared" si="110"/>
        <v>0</v>
      </c>
      <c r="T89" s="152"/>
      <c r="U89" s="152"/>
      <c r="V89" s="152"/>
      <c r="W89" s="152"/>
      <c r="X89" s="152"/>
      <c r="Y89" s="152">
        <f t="shared" si="116"/>
        <v>0</v>
      </c>
      <c r="Z89" s="136"/>
      <c r="AA89" s="136">
        <f t="shared" si="112"/>
        <v>0</v>
      </c>
      <c r="AB89" s="117"/>
      <c r="AC89" s="106"/>
    </row>
    <row r="90" spans="1:29" ht="112.95" customHeight="1" thickBot="1" x14ac:dyDescent="0.4">
      <c r="A90" s="233"/>
      <c r="B90" s="935" t="s">
        <v>1021</v>
      </c>
      <c r="C90" s="935" t="s">
        <v>1221</v>
      </c>
      <c r="D90" s="235" t="s">
        <v>1011</v>
      </c>
      <c r="E90" s="195">
        <v>0.3</v>
      </c>
      <c r="F90" s="193">
        <v>200</v>
      </c>
      <c r="G90" s="130">
        <v>35</v>
      </c>
      <c r="H90" s="130">
        <v>60</v>
      </c>
      <c r="I90" s="136">
        <f>+G90/F90</f>
        <v>0.17499999999999999</v>
      </c>
      <c r="J90" s="136">
        <f t="shared" si="107"/>
        <v>0.3</v>
      </c>
      <c r="K90" s="136">
        <f>+(G90/F90)*E90</f>
        <v>5.2499999999999998E-2</v>
      </c>
      <c r="L90" s="136">
        <f t="shared" si="108"/>
        <v>0.09</v>
      </c>
      <c r="M90" s="130">
        <v>40</v>
      </c>
      <c r="N90" s="550">
        <v>12</v>
      </c>
      <c r="O90" s="550">
        <v>22</v>
      </c>
      <c r="P90" s="550">
        <v>9</v>
      </c>
      <c r="Q90" s="130"/>
      <c r="R90" s="130">
        <f t="shared" si="109"/>
        <v>43</v>
      </c>
      <c r="S90" s="130">
        <f t="shared" si="110"/>
        <v>83</v>
      </c>
      <c r="T90" s="152">
        <v>1</v>
      </c>
      <c r="U90" s="152">
        <f t="shared" si="111"/>
        <v>0.71666666666666667</v>
      </c>
      <c r="V90" s="152">
        <f>+T90*E90</f>
        <v>0.3</v>
      </c>
      <c r="W90" s="152">
        <f t="shared" si="115"/>
        <v>0.215</v>
      </c>
      <c r="X90" s="152">
        <f>+M90/F90</f>
        <v>0.2</v>
      </c>
      <c r="Y90" s="152">
        <f t="shared" si="116"/>
        <v>0.41499999999999998</v>
      </c>
      <c r="Z90" s="136">
        <f>+X90*E90</f>
        <v>0.06</v>
      </c>
      <c r="AA90" s="136">
        <f t="shared" si="112"/>
        <v>0.12449999999999999</v>
      </c>
      <c r="AB90" s="117"/>
      <c r="AC90" s="106"/>
    </row>
    <row r="91" spans="1:29" ht="120.6" customHeight="1" thickBot="1" x14ac:dyDescent="0.4">
      <c r="A91" s="233"/>
      <c r="B91" s="935" t="s">
        <v>1022</v>
      </c>
      <c r="C91" s="935" t="s">
        <v>1222</v>
      </c>
      <c r="D91" s="235" t="s">
        <v>1011</v>
      </c>
      <c r="E91" s="195">
        <v>0.05</v>
      </c>
      <c r="F91" s="193">
        <v>1</v>
      </c>
      <c r="G91" s="130">
        <v>0</v>
      </c>
      <c r="H91" s="130">
        <v>0</v>
      </c>
      <c r="I91" s="136"/>
      <c r="J91" s="136"/>
      <c r="K91" s="136"/>
      <c r="L91" s="136"/>
      <c r="M91" s="130"/>
      <c r="N91" s="550"/>
      <c r="O91" s="550"/>
      <c r="P91" s="550"/>
      <c r="Q91" s="130"/>
      <c r="R91" s="130">
        <f t="shared" si="109"/>
        <v>0</v>
      </c>
      <c r="S91" s="130">
        <f t="shared" si="110"/>
        <v>0</v>
      </c>
      <c r="T91" s="152"/>
      <c r="U91" s="152"/>
      <c r="V91" s="152"/>
      <c r="W91" s="152"/>
      <c r="X91" s="152"/>
      <c r="Y91" s="152">
        <f t="shared" si="116"/>
        <v>0</v>
      </c>
      <c r="Z91" s="136"/>
      <c r="AA91" s="136">
        <f t="shared" si="112"/>
        <v>0</v>
      </c>
      <c r="AB91" s="117"/>
      <c r="AC91" s="106"/>
    </row>
    <row r="92" spans="1:29" ht="67.2" customHeight="1" thickBot="1" x14ac:dyDescent="0.4">
      <c r="A92" s="233"/>
      <c r="B92" s="991" t="s">
        <v>1762</v>
      </c>
      <c r="C92" s="977"/>
      <c r="D92" s="235"/>
      <c r="E92" s="199">
        <v>0.05</v>
      </c>
      <c r="F92" s="183"/>
      <c r="G92" s="123"/>
      <c r="H92" s="123"/>
      <c r="I92" s="129"/>
      <c r="J92" s="129">
        <f>+AVERAGE(J93)</f>
        <v>0</v>
      </c>
      <c r="K92" s="129"/>
      <c r="L92" s="129">
        <f>+L93</f>
        <v>0</v>
      </c>
      <c r="M92" s="128"/>
      <c r="N92" s="128"/>
      <c r="O92" s="128"/>
      <c r="P92" s="128"/>
      <c r="Q92" s="128"/>
      <c r="R92" s="128"/>
      <c r="S92" s="128"/>
      <c r="T92" s="150"/>
      <c r="U92" s="150"/>
      <c r="V92" s="150"/>
      <c r="W92" s="150">
        <f>+(W93)*E92</f>
        <v>0</v>
      </c>
      <c r="X92" s="129"/>
      <c r="Y92" s="129">
        <f>+AVERAGE(Y93)</f>
        <v>0</v>
      </c>
      <c r="Z92" s="129"/>
      <c r="AA92" s="129">
        <f>+(AA93)</f>
        <v>0</v>
      </c>
      <c r="AB92" s="117"/>
      <c r="AC92" s="106"/>
    </row>
    <row r="93" spans="1:29" ht="81.599999999999994" customHeight="1" thickBot="1" x14ac:dyDescent="0.4">
      <c r="A93" s="233"/>
      <c r="B93" s="791" t="s">
        <v>1023</v>
      </c>
      <c r="C93" s="791" t="s">
        <v>1223</v>
      </c>
      <c r="D93" s="235" t="s">
        <v>1024</v>
      </c>
      <c r="E93" s="195">
        <v>1</v>
      </c>
      <c r="F93" s="193">
        <v>6000000000</v>
      </c>
      <c r="G93" s="130"/>
      <c r="H93" s="130">
        <v>0</v>
      </c>
      <c r="I93" s="136"/>
      <c r="J93" s="136">
        <f t="shared" ref="J93" si="117">+H93/F93</f>
        <v>0</v>
      </c>
      <c r="K93" s="136"/>
      <c r="L93" s="136">
        <f t="shared" ref="L93" si="118">+(H93/F93)*E93</f>
        <v>0</v>
      </c>
      <c r="M93" s="130"/>
      <c r="N93" s="550"/>
      <c r="O93" s="130"/>
      <c r="P93" s="130"/>
      <c r="Q93" s="130"/>
      <c r="R93" s="130">
        <f t="shared" ref="R93" si="119">+N93+O93+P93+Q93</f>
        <v>0</v>
      </c>
      <c r="S93" s="130">
        <f t="shared" ref="S93" si="120">+R93+M93</f>
        <v>0</v>
      </c>
      <c r="T93" s="136"/>
      <c r="U93" s="136"/>
      <c r="V93" s="136"/>
      <c r="W93" s="136">
        <f t="shared" ref="W93" si="121">+U93*E93</f>
        <v>0</v>
      </c>
      <c r="X93" s="136"/>
      <c r="Y93" s="136">
        <f t="shared" ref="Y93" si="122">+S93/F93</f>
        <v>0</v>
      </c>
      <c r="Z93" s="136"/>
      <c r="AA93" s="136">
        <f>+Y93*E93</f>
        <v>0</v>
      </c>
      <c r="AB93" s="117"/>
      <c r="AC93" s="106"/>
    </row>
    <row r="94" spans="1:29" ht="67.2" customHeight="1" thickBot="1" x14ac:dyDescent="0.4">
      <c r="A94" s="233"/>
      <c r="B94" s="991" t="s">
        <v>1763</v>
      </c>
      <c r="C94" s="977"/>
      <c r="D94" s="235"/>
      <c r="E94" s="199">
        <v>0.2</v>
      </c>
      <c r="F94" s="183"/>
      <c r="G94" s="123"/>
      <c r="H94" s="123"/>
      <c r="I94" s="129">
        <f>+AVERAGE(I95:I98)</f>
        <v>0.18466666666666667</v>
      </c>
      <c r="J94" s="129">
        <f>+AVERAGE(J95:J98)</f>
        <v>0.29583333333333334</v>
      </c>
      <c r="K94" s="129">
        <f>+K95+K96+K97+K98</f>
        <v>0.17810000000000001</v>
      </c>
      <c r="L94" s="129">
        <f>+L95+L96+L97+L98</f>
        <v>0.29083333333333333</v>
      </c>
      <c r="M94" s="128"/>
      <c r="N94" s="128"/>
      <c r="O94" s="128"/>
      <c r="P94" s="128"/>
      <c r="Q94" s="128"/>
      <c r="R94" s="128"/>
      <c r="S94" s="128"/>
      <c r="T94" s="150">
        <f>+AVERAGE(T95:T98)</f>
        <v>1</v>
      </c>
      <c r="U94" s="150">
        <f>+AVERAGE(U95:U98)</f>
        <v>0.38916666666666666</v>
      </c>
      <c r="V94" s="150">
        <f>+(V95+V96+V97+V98)*E94</f>
        <v>0.18000000000000002</v>
      </c>
      <c r="W94" s="150">
        <f>+(W95+W96+W97+W98)*E94</f>
        <v>9.8366666666666672E-2</v>
      </c>
      <c r="X94" s="129">
        <f>+AVERAGE(X95:X98)</f>
        <v>0.18536666666666668</v>
      </c>
      <c r="Y94" s="129">
        <f>+X94+((Y95-X95)/4)+ ((Y96-X96)/4)+((Y97-X97)/4)+(Y98/4)</f>
        <v>0.29899166666666666</v>
      </c>
      <c r="Z94" s="129">
        <f>+(Z95+Z96+Z97+Z98)*E94</f>
        <v>3.5682999999999999E-2</v>
      </c>
      <c r="AA94" s="129">
        <f>+(AA95+AA96+AA97+AA98)</f>
        <v>0.32284000000000002</v>
      </c>
      <c r="AB94" s="117"/>
      <c r="AC94" s="106"/>
    </row>
    <row r="95" spans="1:29" ht="94.95" customHeight="1" thickBot="1" x14ac:dyDescent="0.4">
      <c r="A95" s="233"/>
      <c r="B95" s="935" t="s">
        <v>1025</v>
      </c>
      <c r="C95" s="935" t="s">
        <v>1224</v>
      </c>
      <c r="D95" s="235" t="s">
        <v>1011</v>
      </c>
      <c r="E95" s="195">
        <v>0.15</v>
      </c>
      <c r="F95" s="193">
        <v>50000</v>
      </c>
      <c r="G95" s="246">
        <v>5200</v>
      </c>
      <c r="H95" s="246">
        <v>15000</v>
      </c>
      <c r="I95" s="136">
        <f>+G95/F95</f>
        <v>0.104</v>
      </c>
      <c r="J95" s="136">
        <f t="shared" ref="J95:J98" si="123">+H95/F95</f>
        <v>0.3</v>
      </c>
      <c r="K95" s="136">
        <f>+(G95/F95)*E95</f>
        <v>1.5599999999999999E-2</v>
      </c>
      <c r="L95" s="136">
        <f t="shared" ref="L95:L98" si="124">+(H95/F95)*E95</f>
        <v>4.4999999999999998E-2</v>
      </c>
      <c r="M95" s="130">
        <v>5305</v>
      </c>
      <c r="N95" s="550">
        <v>1745</v>
      </c>
      <c r="O95" s="550">
        <v>4389</v>
      </c>
      <c r="P95" s="550">
        <v>3466</v>
      </c>
      <c r="Q95" s="130"/>
      <c r="R95" s="130">
        <f t="shared" ref="R95:R98" si="125">+N95+O95+P95+Q95</f>
        <v>9600</v>
      </c>
      <c r="S95" s="130">
        <f t="shared" ref="S95:S98" si="126">+R95+M95</f>
        <v>14905</v>
      </c>
      <c r="T95" s="152">
        <v>1</v>
      </c>
      <c r="U95" s="152">
        <f t="shared" ref="U95:U98" si="127">+R95/H95</f>
        <v>0.64</v>
      </c>
      <c r="V95" s="152">
        <f>+T95*E95</f>
        <v>0.15</v>
      </c>
      <c r="W95" s="152">
        <f t="shared" ref="W95:W98" si="128">+U95*E95</f>
        <v>9.6000000000000002E-2</v>
      </c>
      <c r="X95" s="152">
        <f>+M95/F95</f>
        <v>0.1061</v>
      </c>
      <c r="Y95" s="152">
        <f t="shared" ref="Y95:Y97" si="129">+S95/F95</f>
        <v>0.29809999999999998</v>
      </c>
      <c r="Z95" s="136">
        <f>+X95*E95</f>
        <v>1.5914999999999999E-2</v>
      </c>
      <c r="AA95" s="136">
        <f>+Y95*E95</f>
        <v>4.4714999999999998E-2</v>
      </c>
      <c r="AB95" s="117"/>
      <c r="AC95" s="106"/>
    </row>
    <row r="96" spans="1:29" ht="84.6" customHeight="1" thickBot="1" x14ac:dyDescent="0.4">
      <c r="A96" s="233"/>
      <c r="B96" s="935" t="s">
        <v>1026</v>
      </c>
      <c r="C96" s="935" t="s">
        <v>1225</v>
      </c>
      <c r="D96" s="235" t="s">
        <v>1011</v>
      </c>
      <c r="E96" s="239">
        <v>0.25</v>
      </c>
      <c r="F96" s="193">
        <v>4</v>
      </c>
      <c r="G96" s="246">
        <v>1</v>
      </c>
      <c r="H96" s="246">
        <v>1</v>
      </c>
      <c r="I96" s="136">
        <f>+G96/F96</f>
        <v>0.25</v>
      </c>
      <c r="J96" s="136">
        <f t="shared" si="123"/>
        <v>0.25</v>
      </c>
      <c r="K96" s="136">
        <f>+(G96/F96)*E96</f>
        <v>6.25E-2</v>
      </c>
      <c r="L96" s="136">
        <f t="shared" si="124"/>
        <v>6.25E-2</v>
      </c>
      <c r="M96" s="130">
        <v>1</v>
      </c>
      <c r="N96" s="550">
        <v>0</v>
      </c>
      <c r="O96" s="550">
        <v>0</v>
      </c>
      <c r="P96" s="550">
        <v>0.25</v>
      </c>
      <c r="Q96" s="130"/>
      <c r="R96" s="130">
        <f t="shared" si="125"/>
        <v>0.25</v>
      </c>
      <c r="S96" s="130">
        <f t="shared" si="126"/>
        <v>1.25</v>
      </c>
      <c r="T96" s="152">
        <f>+(M96/G96)</f>
        <v>1</v>
      </c>
      <c r="U96" s="152">
        <f t="shared" si="127"/>
        <v>0.25</v>
      </c>
      <c r="V96" s="152">
        <f>+T96*E96</f>
        <v>0.25</v>
      </c>
      <c r="W96" s="152">
        <f t="shared" si="128"/>
        <v>6.25E-2</v>
      </c>
      <c r="X96" s="152">
        <f>+M96/F96</f>
        <v>0.25</v>
      </c>
      <c r="Y96" s="152">
        <f t="shared" si="129"/>
        <v>0.3125</v>
      </c>
      <c r="Z96" s="136">
        <f>+X96*E96</f>
        <v>6.25E-2</v>
      </c>
      <c r="AA96" s="136">
        <f>+Y96*E96</f>
        <v>7.8125E-2</v>
      </c>
      <c r="AB96" s="117"/>
      <c r="AC96" s="106"/>
    </row>
    <row r="97" spans="1:29" ht="103.95" customHeight="1" thickBot="1" x14ac:dyDescent="0.4">
      <c r="A97" s="233"/>
      <c r="B97" s="935" t="s">
        <v>1027</v>
      </c>
      <c r="C97" s="935" t="s">
        <v>1226</v>
      </c>
      <c r="D97" s="235" t="s">
        <v>1011</v>
      </c>
      <c r="E97" s="248">
        <v>0.5</v>
      </c>
      <c r="F97" s="193">
        <v>20</v>
      </c>
      <c r="G97" s="246">
        <v>4</v>
      </c>
      <c r="H97" s="246">
        <v>6</v>
      </c>
      <c r="I97" s="136">
        <f>+G97/F97</f>
        <v>0.2</v>
      </c>
      <c r="J97" s="136">
        <f t="shared" si="123"/>
        <v>0.3</v>
      </c>
      <c r="K97" s="136">
        <f>+(G97/F97)*E97</f>
        <v>0.1</v>
      </c>
      <c r="L97" s="136">
        <f t="shared" si="124"/>
        <v>0.15</v>
      </c>
      <c r="M97" s="130">
        <v>4</v>
      </c>
      <c r="N97" s="550">
        <v>1</v>
      </c>
      <c r="O97" s="550">
        <v>0</v>
      </c>
      <c r="P97" s="550">
        <v>3</v>
      </c>
      <c r="Q97" s="130"/>
      <c r="R97" s="130">
        <f t="shared" si="125"/>
        <v>4</v>
      </c>
      <c r="S97" s="130">
        <f t="shared" si="126"/>
        <v>8</v>
      </c>
      <c r="T97" s="152">
        <f>+(M97/G97)</f>
        <v>1</v>
      </c>
      <c r="U97" s="152">
        <f t="shared" si="127"/>
        <v>0.66666666666666663</v>
      </c>
      <c r="V97" s="152">
        <f>+T97*E97</f>
        <v>0.5</v>
      </c>
      <c r="W97" s="152">
        <f t="shared" si="128"/>
        <v>0.33333333333333331</v>
      </c>
      <c r="X97" s="152">
        <f>+M97/F97</f>
        <v>0.2</v>
      </c>
      <c r="Y97" s="152">
        <f t="shared" si="129"/>
        <v>0.4</v>
      </c>
      <c r="Z97" s="136">
        <f>+X97*E97</f>
        <v>0.1</v>
      </c>
      <c r="AA97" s="136">
        <f>+Y97*E97</f>
        <v>0.2</v>
      </c>
      <c r="AB97" s="117"/>
      <c r="AC97" s="106"/>
    </row>
    <row r="98" spans="1:29" ht="113.4" customHeight="1" thickBot="1" x14ac:dyDescent="0.4">
      <c r="A98" s="233"/>
      <c r="B98" s="935" t="s">
        <v>1028</v>
      </c>
      <c r="C98" s="935" t="s">
        <v>1227</v>
      </c>
      <c r="D98" s="235" t="s">
        <v>1011</v>
      </c>
      <c r="E98" s="192">
        <v>0.1</v>
      </c>
      <c r="F98" s="193">
        <v>1500</v>
      </c>
      <c r="G98" s="249">
        <v>0</v>
      </c>
      <c r="H98" s="249">
        <v>500</v>
      </c>
      <c r="I98" s="136"/>
      <c r="J98" s="136">
        <f t="shared" si="123"/>
        <v>0.33333333333333331</v>
      </c>
      <c r="K98" s="136"/>
      <c r="L98" s="136">
        <f t="shared" si="124"/>
        <v>3.3333333333333333E-2</v>
      </c>
      <c r="M98" s="130"/>
      <c r="N98" s="550">
        <v>0</v>
      </c>
      <c r="O98" s="550">
        <v>0</v>
      </c>
      <c r="P98" s="550">
        <v>0</v>
      </c>
      <c r="Q98" s="130"/>
      <c r="R98" s="130">
        <f t="shared" si="125"/>
        <v>0</v>
      </c>
      <c r="S98" s="130">
        <f t="shared" si="126"/>
        <v>0</v>
      </c>
      <c r="T98" s="152"/>
      <c r="U98" s="152">
        <f t="shared" si="127"/>
        <v>0</v>
      </c>
      <c r="V98" s="152"/>
      <c r="W98" s="152">
        <f t="shared" si="128"/>
        <v>0</v>
      </c>
      <c r="X98" s="152"/>
      <c r="Y98" s="152">
        <v>0</v>
      </c>
      <c r="Z98" s="136"/>
      <c r="AA98" s="136">
        <f>+Y98*E98</f>
        <v>0</v>
      </c>
      <c r="AB98" s="117"/>
      <c r="AC98" s="106"/>
    </row>
    <row r="99" spans="1:29" ht="67.2" customHeight="1" thickBot="1" x14ac:dyDescent="0.4">
      <c r="A99" s="233"/>
      <c r="B99" s="991" t="s">
        <v>1703</v>
      </c>
      <c r="C99" s="977"/>
      <c r="D99" s="235"/>
      <c r="E99" s="199">
        <v>0.1</v>
      </c>
      <c r="F99" s="183"/>
      <c r="G99" s="130"/>
      <c r="H99" s="130"/>
      <c r="I99" s="129">
        <f>+AVERAGE(I100:I104)</f>
        <v>0.25</v>
      </c>
      <c r="J99" s="129">
        <f>+AVERAGE(J100:J104)</f>
        <v>0.55000000000000004</v>
      </c>
      <c r="K99" s="129">
        <f>+K100+K101+K102+K103+K104</f>
        <v>0.185</v>
      </c>
      <c r="L99" s="129">
        <f>+L100+L101+L102+L103+L104</f>
        <v>0.44500000000000001</v>
      </c>
      <c r="M99" s="128"/>
      <c r="N99" s="128"/>
      <c r="O99" s="128"/>
      <c r="P99" s="128"/>
      <c r="Q99" s="128"/>
      <c r="R99" s="128"/>
      <c r="S99" s="128"/>
      <c r="T99" s="150">
        <f>+AVERAGE(T100:T104)</f>
        <v>1</v>
      </c>
      <c r="U99" s="150">
        <f>+AVERAGE(U100:U104)</f>
        <v>0.78390000000000004</v>
      </c>
      <c r="V99" s="150">
        <f>+(V100+V101+V102+V103+V104)*E99</f>
        <v>7.3999999999999996E-2</v>
      </c>
      <c r="W99" s="150">
        <f>+(W100+W101+W102+W103+W104)*E99</f>
        <v>8.9365E-2</v>
      </c>
      <c r="X99" s="129">
        <f>+AVERAGE(X100:X104)</f>
        <v>0.26166666666666666</v>
      </c>
      <c r="Y99" s="129">
        <f>+AVERAGE(Y100:Y104)</f>
        <v>0.54047500000000004</v>
      </c>
      <c r="Z99" s="129">
        <f>+(Z100+Z101+Z102+Z103+Z104)*E99</f>
        <v>2.095E-2</v>
      </c>
      <c r="AA99" s="129">
        <f>+(AA100+AA101+AA102+AA103+AA104)</f>
        <v>0.59416250000000004</v>
      </c>
      <c r="AB99" s="117"/>
      <c r="AC99" s="106"/>
    </row>
    <row r="100" spans="1:29" ht="101.4" customHeight="1" thickBot="1" x14ac:dyDescent="0.4">
      <c r="A100" s="233"/>
      <c r="B100" s="935" t="s">
        <v>1029</v>
      </c>
      <c r="C100" s="935" t="s">
        <v>1228</v>
      </c>
      <c r="D100" s="235" t="s">
        <v>58</v>
      </c>
      <c r="E100" s="195">
        <v>0.06</v>
      </c>
      <c r="F100" s="193">
        <v>1</v>
      </c>
      <c r="G100" s="130">
        <v>0</v>
      </c>
      <c r="H100" s="130">
        <v>1</v>
      </c>
      <c r="I100" s="136"/>
      <c r="J100" s="136">
        <f t="shared" ref="J100:J104" si="130">+H100/F100</f>
        <v>1</v>
      </c>
      <c r="K100" s="136"/>
      <c r="L100" s="136">
        <f t="shared" ref="L100:L104" si="131">+(H100/F100)*E100</f>
        <v>0.06</v>
      </c>
      <c r="M100" s="130"/>
      <c r="N100" s="550">
        <v>0</v>
      </c>
      <c r="O100" s="550">
        <v>0.25</v>
      </c>
      <c r="P100" s="550">
        <v>0</v>
      </c>
      <c r="Q100" s="130"/>
      <c r="R100" s="130">
        <f t="shared" ref="R100:R104" si="132">+N100+O100+P100+Q100</f>
        <v>0.25</v>
      </c>
      <c r="S100" s="130">
        <f t="shared" ref="S100:S104" si="133">+R100+M100</f>
        <v>0.25</v>
      </c>
      <c r="T100" s="136"/>
      <c r="U100" s="152">
        <f t="shared" ref="U100:U104" si="134">+R100/H100</f>
        <v>0.25</v>
      </c>
      <c r="V100" s="152"/>
      <c r="W100" s="152">
        <f t="shared" ref="W100:W104" si="135">+U100*E100</f>
        <v>1.4999999999999999E-2</v>
      </c>
      <c r="X100" s="152"/>
      <c r="Y100" s="152">
        <f t="shared" ref="Y100:Y104" si="136">+S100/F100</f>
        <v>0.25</v>
      </c>
      <c r="Z100" s="136"/>
      <c r="AA100" s="136">
        <f>+Y100*E100</f>
        <v>1.4999999999999999E-2</v>
      </c>
      <c r="AB100" s="117"/>
      <c r="AC100" s="106"/>
    </row>
    <row r="101" spans="1:29" ht="89.4" customHeight="1" thickBot="1" x14ac:dyDescent="0.4">
      <c r="A101" s="233"/>
      <c r="B101" s="935" t="s">
        <v>1030</v>
      </c>
      <c r="C101" s="935" t="s">
        <v>1229</v>
      </c>
      <c r="D101" s="235" t="s">
        <v>58</v>
      </c>
      <c r="E101" s="195">
        <v>0.2</v>
      </c>
      <c r="F101" s="193">
        <v>1</v>
      </c>
      <c r="G101" s="130">
        <v>0</v>
      </c>
      <c r="H101" s="130">
        <v>1</v>
      </c>
      <c r="I101" s="136"/>
      <c r="J101" s="136">
        <f t="shared" si="130"/>
        <v>1</v>
      </c>
      <c r="K101" s="136"/>
      <c r="L101" s="136">
        <f t="shared" si="131"/>
        <v>0.2</v>
      </c>
      <c r="M101" s="130"/>
      <c r="N101" s="550">
        <v>0</v>
      </c>
      <c r="O101" s="550">
        <v>0.5</v>
      </c>
      <c r="P101" s="550">
        <v>0.5</v>
      </c>
      <c r="Q101" s="130"/>
      <c r="R101" s="130">
        <f t="shared" si="132"/>
        <v>1</v>
      </c>
      <c r="S101" s="130">
        <f t="shared" si="133"/>
        <v>1</v>
      </c>
      <c r="T101" s="136"/>
      <c r="U101" s="152">
        <f t="shared" si="134"/>
        <v>1</v>
      </c>
      <c r="V101" s="152"/>
      <c r="W101" s="152">
        <f t="shared" si="135"/>
        <v>0.2</v>
      </c>
      <c r="X101" s="152"/>
      <c r="Y101" s="152">
        <f t="shared" si="136"/>
        <v>1</v>
      </c>
      <c r="Z101" s="136"/>
      <c r="AA101" s="136">
        <f t="shared" ref="AA101:AA104" si="137">+Y101*E101</f>
        <v>0.2</v>
      </c>
      <c r="AB101" s="117"/>
      <c r="AC101" s="106"/>
    </row>
    <row r="102" spans="1:29" ht="83.4" customHeight="1" thickBot="1" x14ac:dyDescent="0.4">
      <c r="A102" s="233"/>
      <c r="B102" s="935" t="s">
        <v>1031</v>
      </c>
      <c r="C102" s="935" t="s">
        <v>1230</v>
      </c>
      <c r="D102" s="235" t="s">
        <v>58</v>
      </c>
      <c r="E102" s="195">
        <v>0.7</v>
      </c>
      <c r="F102" s="193">
        <v>8000</v>
      </c>
      <c r="G102" s="130">
        <v>2000</v>
      </c>
      <c r="H102" s="130">
        <v>2000</v>
      </c>
      <c r="I102" s="136">
        <f>+G102/F102</f>
        <v>0.25</v>
      </c>
      <c r="J102" s="136">
        <f t="shared" si="130"/>
        <v>0.25</v>
      </c>
      <c r="K102" s="136">
        <f>+(G102/F102)*E102</f>
        <v>0.17499999999999999</v>
      </c>
      <c r="L102" s="136">
        <f t="shared" si="131"/>
        <v>0.17499999999999999</v>
      </c>
      <c r="M102" s="130">
        <v>2280</v>
      </c>
      <c r="N102" s="550">
        <v>309</v>
      </c>
      <c r="O102" s="550">
        <v>926</v>
      </c>
      <c r="P102" s="550">
        <v>604</v>
      </c>
      <c r="Q102" s="130"/>
      <c r="R102" s="130">
        <f t="shared" si="132"/>
        <v>1839</v>
      </c>
      <c r="S102" s="130">
        <f t="shared" si="133"/>
        <v>4119</v>
      </c>
      <c r="T102" s="136">
        <v>1</v>
      </c>
      <c r="U102" s="152">
        <f t="shared" si="134"/>
        <v>0.91949999999999998</v>
      </c>
      <c r="V102" s="152">
        <f>+T102*E102</f>
        <v>0.7</v>
      </c>
      <c r="W102" s="152">
        <f t="shared" si="135"/>
        <v>0.64364999999999994</v>
      </c>
      <c r="X102" s="152">
        <f>+M102/F102</f>
        <v>0.28499999999999998</v>
      </c>
      <c r="Y102" s="152">
        <f t="shared" si="136"/>
        <v>0.51487499999999997</v>
      </c>
      <c r="Z102" s="136">
        <f>+X102*E102</f>
        <v>0.19949999999999998</v>
      </c>
      <c r="AA102" s="136">
        <f t="shared" si="137"/>
        <v>0.36041249999999997</v>
      </c>
      <c r="AB102" s="117"/>
      <c r="AC102" s="106"/>
    </row>
    <row r="103" spans="1:29" ht="99" customHeight="1" thickBot="1" x14ac:dyDescent="0.4">
      <c r="A103" s="233"/>
      <c r="B103" s="935" t="s">
        <v>1032</v>
      </c>
      <c r="C103" s="935" t="s">
        <v>1231</v>
      </c>
      <c r="D103" s="235" t="s">
        <v>58</v>
      </c>
      <c r="E103" s="195">
        <v>0.02</v>
      </c>
      <c r="F103" s="193">
        <v>4</v>
      </c>
      <c r="G103" s="130">
        <v>1</v>
      </c>
      <c r="H103" s="130">
        <v>1</v>
      </c>
      <c r="I103" s="136">
        <f>+G103/F103</f>
        <v>0.25</v>
      </c>
      <c r="J103" s="136">
        <f t="shared" si="130"/>
        <v>0.25</v>
      </c>
      <c r="K103" s="136">
        <f>+(G103/F103)*E103</f>
        <v>5.0000000000000001E-3</v>
      </c>
      <c r="L103" s="136">
        <f t="shared" si="131"/>
        <v>5.0000000000000001E-3</v>
      </c>
      <c r="M103" s="130">
        <v>1</v>
      </c>
      <c r="N103" s="550">
        <v>0</v>
      </c>
      <c r="O103" s="550">
        <v>0</v>
      </c>
      <c r="P103" s="550">
        <v>1</v>
      </c>
      <c r="Q103" s="130"/>
      <c r="R103" s="130">
        <f t="shared" si="132"/>
        <v>1</v>
      </c>
      <c r="S103" s="130">
        <f t="shared" si="133"/>
        <v>2</v>
      </c>
      <c r="T103" s="136">
        <f>+(M103/G103)</f>
        <v>1</v>
      </c>
      <c r="U103" s="152">
        <f t="shared" si="134"/>
        <v>1</v>
      </c>
      <c r="V103" s="152">
        <f>+T103*E103</f>
        <v>0.02</v>
      </c>
      <c r="W103" s="152">
        <f t="shared" si="135"/>
        <v>0.02</v>
      </c>
      <c r="X103" s="152">
        <f>+M103/F103</f>
        <v>0.25</v>
      </c>
      <c r="Y103" s="152">
        <f t="shared" si="136"/>
        <v>0.5</v>
      </c>
      <c r="Z103" s="136">
        <f>+X103*E103</f>
        <v>5.0000000000000001E-3</v>
      </c>
      <c r="AA103" s="136">
        <f t="shared" si="137"/>
        <v>0.01</v>
      </c>
      <c r="AB103" s="117"/>
      <c r="AC103" s="106"/>
    </row>
    <row r="104" spans="1:29" ht="99" customHeight="1" thickBot="1" x14ac:dyDescent="0.4">
      <c r="A104" s="233"/>
      <c r="B104" s="935" t="s">
        <v>1033</v>
      </c>
      <c r="C104" s="935" t="s">
        <v>1232</v>
      </c>
      <c r="D104" s="235" t="s">
        <v>58</v>
      </c>
      <c r="E104" s="239">
        <v>0.02</v>
      </c>
      <c r="F104" s="193">
        <v>4</v>
      </c>
      <c r="G104" s="130">
        <v>1</v>
      </c>
      <c r="H104" s="130">
        <v>1</v>
      </c>
      <c r="I104" s="136">
        <f>+G104/F104</f>
        <v>0.25</v>
      </c>
      <c r="J104" s="136">
        <f t="shared" si="130"/>
        <v>0.25</v>
      </c>
      <c r="K104" s="136">
        <f>+(G104/F104)*E104</f>
        <v>5.0000000000000001E-3</v>
      </c>
      <c r="L104" s="136">
        <f t="shared" si="131"/>
        <v>5.0000000000000001E-3</v>
      </c>
      <c r="M104" s="130">
        <v>1</v>
      </c>
      <c r="N104" s="550">
        <v>0.25</v>
      </c>
      <c r="O104" s="550">
        <v>0.25</v>
      </c>
      <c r="P104" s="550">
        <v>0.25</v>
      </c>
      <c r="Q104" s="130"/>
      <c r="R104" s="130">
        <f t="shared" si="132"/>
        <v>0.75</v>
      </c>
      <c r="S104" s="130">
        <f t="shared" si="133"/>
        <v>1.75</v>
      </c>
      <c r="T104" s="136">
        <f>+(M104/G104)</f>
        <v>1</v>
      </c>
      <c r="U104" s="152">
        <f t="shared" si="134"/>
        <v>0.75</v>
      </c>
      <c r="V104" s="152">
        <f>+T104*E104</f>
        <v>0.02</v>
      </c>
      <c r="W104" s="152">
        <f t="shared" si="135"/>
        <v>1.4999999999999999E-2</v>
      </c>
      <c r="X104" s="152">
        <f>+M104/F104</f>
        <v>0.25</v>
      </c>
      <c r="Y104" s="152">
        <f t="shared" si="136"/>
        <v>0.4375</v>
      </c>
      <c r="Z104" s="136">
        <f>+X104*E104</f>
        <v>5.0000000000000001E-3</v>
      </c>
      <c r="AA104" s="136">
        <f t="shared" si="137"/>
        <v>8.7500000000000008E-3</v>
      </c>
      <c r="AB104" s="117"/>
      <c r="AC104" s="106"/>
    </row>
    <row r="105" spans="1:29" ht="67.2" customHeight="1" thickBot="1" x14ac:dyDescent="0.4">
      <c r="A105" s="233"/>
      <c r="B105" s="991" t="s">
        <v>1704</v>
      </c>
      <c r="C105" s="977"/>
      <c r="D105" s="235"/>
      <c r="E105" s="241">
        <v>0.2</v>
      </c>
      <c r="F105" s="193"/>
      <c r="G105" s="123"/>
      <c r="H105" s="123"/>
      <c r="I105" s="129">
        <f>+AVERAGE(I106:I108)</f>
        <v>0.30555555555555552</v>
      </c>
      <c r="J105" s="129">
        <f>+AVERAGE(J106:J108)</f>
        <v>0.33333333333333331</v>
      </c>
      <c r="K105" s="129">
        <f>+K106+K107+K108</f>
        <v>0.34166666666666667</v>
      </c>
      <c r="L105" s="129">
        <f>+L106+L107+L108</f>
        <v>0.375</v>
      </c>
      <c r="M105" s="128"/>
      <c r="N105" s="128"/>
      <c r="O105" s="128"/>
      <c r="P105" s="128"/>
      <c r="Q105" s="128"/>
      <c r="R105" s="128"/>
      <c r="S105" s="128"/>
      <c r="T105" s="150">
        <f>+AVERAGE(T106:T108)</f>
        <v>0.48266666666666663</v>
      </c>
      <c r="U105" s="150">
        <f>+AVERAGE(U106:U108)</f>
        <v>0.29466666666666669</v>
      </c>
      <c r="V105" s="150">
        <f>+(V106+V107+V108)*E105</f>
        <v>5.5840000000000001E-2</v>
      </c>
      <c r="W105" s="150">
        <f>+(W106+W107+W108)*E105</f>
        <v>4.0720000000000006E-2</v>
      </c>
      <c r="X105" s="129">
        <f>+AVERAGE(X106:X108)</f>
        <v>0.10822222222222222</v>
      </c>
      <c r="Y105" s="129">
        <f>+AVERAGE(Y106:Y108)</f>
        <v>0.18188888888888888</v>
      </c>
      <c r="Z105" s="129">
        <f>+(Z106+Z107+Z108)*E105</f>
        <v>1.0973333333333335E-2</v>
      </c>
      <c r="AA105" s="129">
        <f>+(AA106+AA107+AA108)</f>
        <v>0.10576666666666668</v>
      </c>
      <c r="AB105" s="117"/>
      <c r="AC105" s="106"/>
    </row>
    <row r="106" spans="1:29" ht="90" customHeight="1" thickBot="1" x14ac:dyDescent="0.4">
      <c r="A106" s="233"/>
      <c r="B106" s="935" t="s">
        <v>1034</v>
      </c>
      <c r="C106" s="935" t="s">
        <v>1233</v>
      </c>
      <c r="D106" s="235" t="s">
        <v>58</v>
      </c>
      <c r="E106" s="195">
        <v>0.1</v>
      </c>
      <c r="F106" s="193">
        <v>1</v>
      </c>
      <c r="G106" s="130">
        <v>0.25</v>
      </c>
      <c r="H106" s="130">
        <v>0.25</v>
      </c>
      <c r="I106" s="136">
        <f>+G106/F106</f>
        <v>0.25</v>
      </c>
      <c r="J106" s="136">
        <f t="shared" ref="J106:J108" si="138">+H106/F106</f>
        <v>0.25</v>
      </c>
      <c r="K106" s="136">
        <f>+(G106/F106)*E106</f>
        <v>2.5000000000000001E-2</v>
      </c>
      <c r="L106" s="136">
        <f t="shared" ref="L106:L108" si="139">+(H106/F106)*E106</f>
        <v>2.5000000000000001E-2</v>
      </c>
      <c r="M106" s="130">
        <v>0.25</v>
      </c>
      <c r="N106" s="550">
        <v>0</v>
      </c>
      <c r="O106" s="550">
        <v>0.125</v>
      </c>
      <c r="P106" s="550">
        <v>0</v>
      </c>
      <c r="Q106" s="130"/>
      <c r="R106" s="130">
        <f t="shared" ref="R106:R108" si="140">+N106+O106+P106+Q106</f>
        <v>0.125</v>
      </c>
      <c r="S106" s="130">
        <f t="shared" ref="S106:S108" si="141">+R106+M106</f>
        <v>0.375</v>
      </c>
      <c r="T106" s="136">
        <f>+(M106/G106)</f>
        <v>1</v>
      </c>
      <c r="U106" s="152">
        <f t="shared" ref="U106:U108" si="142">+R106/H106</f>
        <v>0.5</v>
      </c>
      <c r="V106" s="152">
        <f>+T106*E106</f>
        <v>0.1</v>
      </c>
      <c r="W106" s="152">
        <f t="shared" ref="W106:W108" si="143">+U106*E106</f>
        <v>0.05</v>
      </c>
      <c r="X106" s="152">
        <f>+M106/F106</f>
        <v>0.25</v>
      </c>
      <c r="Y106" s="152">
        <f t="shared" ref="Y106:Y108" si="144">+S106/F106</f>
        <v>0.375</v>
      </c>
      <c r="Z106" s="136">
        <f>+X106*E106</f>
        <v>2.5000000000000001E-2</v>
      </c>
      <c r="AA106" s="136">
        <f>+Y106*E106</f>
        <v>3.7500000000000006E-2</v>
      </c>
      <c r="AB106" s="117"/>
      <c r="AC106" s="106"/>
    </row>
    <row r="107" spans="1:29" ht="94.2" customHeight="1" thickBot="1" x14ac:dyDescent="0.4">
      <c r="A107" s="233"/>
      <c r="B107" s="935" t="s">
        <v>1035</v>
      </c>
      <c r="C107" s="935" t="s">
        <v>1234</v>
      </c>
      <c r="D107" s="235" t="s">
        <v>58</v>
      </c>
      <c r="E107" s="195">
        <v>0.4</v>
      </c>
      <c r="F107" s="193">
        <v>3000</v>
      </c>
      <c r="G107" s="130">
        <v>500</v>
      </c>
      <c r="H107" s="130">
        <v>750</v>
      </c>
      <c r="I107" s="136">
        <f>+G107/F107</f>
        <v>0.16666666666666666</v>
      </c>
      <c r="J107" s="136">
        <f t="shared" si="138"/>
        <v>0.25</v>
      </c>
      <c r="K107" s="136">
        <f>+(G107/F107)*E107</f>
        <v>6.6666666666666666E-2</v>
      </c>
      <c r="L107" s="136">
        <f t="shared" si="139"/>
        <v>0.1</v>
      </c>
      <c r="M107" s="130">
        <v>224</v>
      </c>
      <c r="N107" s="550">
        <v>162</v>
      </c>
      <c r="O107" s="550">
        <v>8</v>
      </c>
      <c r="P107" s="550">
        <v>118</v>
      </c>
      <c r="Q107" s="130"/>
      <c r="R107" s="130">
        <f t="shared" si="140"/>
        <v>288</v>
      </c>
      <c r="S107" s="130">
        <f t="shared" si="141"/>
        <v>512</v>
      </c>
      <c r="T107" s="136">
        <f>+(M107/G107)</f>
        <v>0.44800000000000001</v>
      </c>
      <c r="U107" s="152">
        <f t="shared" si="142"/>
        <v>0.38400000000000001</v>
      </c>
      <c r="V107" s="152">
        <f>+T107*E107</f>
        <v>0.17920000000000003</v>
      </c>
      <c r="W107" s="152">
        <f t="shared" si="143"/>
        <v>0.15360000000000001</v>
      </c>
      <c r="X107" s="152">
        <f>+M107/F107</f>
        <v>7.4666666666666673E-2</v>
      </c>
      <c r="Y107" s="152">
        <f t="shared" si="144"/>
        <v>0.17066666666666666</v>
      </c>
      <c r="Z107" s="136">
        <f>+X107*E107</f>
        <v>2.986666666666667E-2</v>
      </c>
      <c r="AA107" s="136">
        <f>+Y107*E107</f>
        <v>6.826666666666667E-2</v>
      </c>
      <c r="AB107" s="117"/>
      <c r="AC107" s="106"/>
    </row>
    <row r="108" spans="1:29" ht="67.2" customHeight="1" thickBot="1" x14ac:dyDescent="0.4">
      <c r="A108" s="233"/>
      <c r="B108" s="935" t="s">
        <v>1036</v>
      </c>
      <c r="C108" s="935" t="s">
        <v>1235</v>
      </c>
      <c r="D108" s="235" t="s">
        <v>58</v>
      </c>
      <c r="E108" s="195">
        <v>0.5</v>
      </c>
      <c r="F108" s="193">
        <v>1</v>
      </c>
      <c r="G108" s="130">
        <v>0.5</v>
      </c>
      <c r="H108" s="130">
        <v>0.5</v>
      </c>
      <c r="I108" s="136">
        <f>+G108/F108</f>
        <v>0.5</v>
      </c>
      <c r="J108" s="136">
        <f t="shared" si="138"/>
        <v>0.5</v>
      </c>
      <c r="K108" s="136">
        <f>+(G108/F108)*E108</f>
        <v>0.25</v>
      </c>
      <c r="L108" s="136">
        <f t="shared" si="139"/>
        <v>0.25</v>
      </c>
      <c r="M108" s="130">
        <v>0</v>
      </c>
      <c r="N108" s="550">
        <v>0</v>
      </c>
      <c r="O108" s="550">
        <v>0</v>
      </c>
      <c r="P108" s="550">
        <v>0</v>
      </c>
      <c r="Q108" s="130"/>
      <c r="R108" s="130">
        <f t="shared" si="140"/>
        <v>0</v>
      </c>
      <c r="S108" s="130">
        <f t="shared" si="141"/>
        <v>0</v>
      </c>
      <c r="T108" s="136">
        <f>+(M108/G108)</f>
        <v>0</v>
      </c>
      <c r="U108" s="152">
        <f t="shared" si="142"/>
        <v>0</v>
      </c>
      <c r="V108" s="152">
        <f>+T108*E108</f>
        <v>0</v>
      </c>
      <c r="W108" s="152">
        <f t="shared" si="143"/>
        <v>0</v>
      </c>
      <c r="X108" s="152">
        <f>+M108/F108</f>
        <v>0</v>
      </c>
      <c r="Y108" s="152">
        <f t="shared" si="144"/>
        <v>0</v>
      </c>
      <c r="Z108" s="136">
        <f>+X108*E108</f>
        <v>0</v>
      </c>
      <c r="AA108" s="136">
        <f>+Y108*E108</f>
        <v>0</v>
      </c>
      <c r="AB108" s="117"/>
      <c r="AC108" s="106"/>
    </row>
    <row r="109" spans="1:29" ht="67.2" customHeight="1" thickBot="1" x14ac:dyDescent="0.4">
      <c r="A109" s="233"/>
      <c r="B109" s="985" t="s">
        <v>1764</v>
      </c>
      <c r="C109" s="977"/>
      <c r="D109" s="235"/>
      <c r="E109" s="201">
        <v>0.2</v>
      </c>
      <c r="F109" s="236">
        <f>E109*V109</f>
        <v>0.15047200000000005</v>
      </c>
      <c r="G109" s="123"/>
      <c r="H109" s="236">
        <f>+E109*W109</f>
        <v>0.13254230769230771</v>
      </c>
      <c r="I109" s="121">
        <f>+(I110+I116+I123+I131+I134+I139)/6</f>
        <v>0.24594907407407407</v>
      </c>
      <c r="J109" s="121">
        <f>+(J110+J116+J123+J131+J134+J139)/6</f>
        <v>0.29876710128495843</v>
      </c>
      <c r="K109" s="122">
        <f>+(K110+K116+K123+K131+K134+K139)/6</f>
        <v>0.20215277777777776</v>
      </c>
      <c r="L109" s="122">
        <f>+(L110+L116+L123+L131+L134+L139)/6</f>
        <v>0.28790873015873014</v>
      </c>
      <c r="M109" s="123"/>
      <c r="N109" s="123"/>
      <c r="O109" s="123"/>
      <c r="P109" s="123"/>
      <c r="Q109" s="123"/>
      <c r="R109" s="123"/>
      <c r="S109" s="123"/>
      <c r="T109" s="121">
        <f>+(T110+T116+T123+T131+T134+T139)/6</f>
        <v>0.92183333333333339</v>
      </c>
      <c r="U109" s="121">
        <f>+(U110+U116+U123+U131+U134+U139)/6</f>
        <v>0.746230463980464</v>
      </c>
      <c r="V109" s="122">
        <f>+V110+V116+V123+V131+V134+V139</f>
        <v>0.75236000000000014</v>
      </c>
      <c r="W109" s="122">
        <f>+W110+W116+W123+W131+W134+W139</f>
        <v>0.66271153846153852</v>
      </c>
      <c r="X109" s="121">
        <f>(X110+X116+X123+X131+X134+X139)/6</f>
        <v>0.20931944444444447</v>
      </c>
      <c r="Y109" s="121">
        <f>(Y110+Y116+Y123+Y131+Y134+Y139)/6</f>
        <v>0.48557533068783076</v>
      </c>
      <c r="Z109" s="237">
        <f>(Z110+Z116+Z123+Z131+Z134+Z139)</f>
        <v>0.18588916666666666</v>
      </c>
      <c r="AA109" s="237">
        <f>(AA110*E110+AA116*E116+AA123*E123+AA131*E131+AA134*E134+AA139*E139)</f>
        <v>0.45242683333333333</v>
      </c>
      <c r="AB109" s="117"/>
      <c r="AC109" s="106"/>
    </row>
    <row r="110" spans="1:29" ht="67.2" customHeight="1" thickBot="1" x14ac:dyDescent="0.4">
      <c r="A110" s="233"/>
      <c r="B110" s="991" t="s">
        <v>1705</v>
      </c>
      <c r="C110" s="977"/>
      <c r="D110" s="235"/>
      <c r="E110" s="199">
        <v>0.2</v>
      </c>
      <c r="F110" s="183"/>
      <c r="G110" s="123"/>
      <c r="H110" s="123"/>
      <c r="I110" s="129">
        <f>+AVERAGE(I111:I115)</f>
        <v>0.20833333333333331</v>
      </c>
      <c r="J110" s="129">
        <f>+AVERAGE(J111:J115)</f>
        <v>0.29833333333333334</v>
      </c>
      <c r="K110" s="129">
        <f>+K111+K112+K113+K114+K115</f>
        <v>0.10833333333333334</v>
      </c>
      <c r="L110" s="129">
        <f>+L111+L112+L113+L114+L115</f>
        <v>0.24833333333333332</v>
      </c>
      <c r="M110" s="128"/>
      <c r="N110" s="128"/>
      <c r="O110" s="128"/>
      <c r="P110" s="128"/>
      <c r="Q110" s="128"/>
      <c r="R110" s="128"/>
      <c r="S110" s="128"/>
      <c r="T110" s="150">
        <f>+AVERAGE(T111:T115)</f>
        <v>1</v>
      </c>
      <c r="U110" s="150">
        <f>+AVERAGE(U111:U115)</f>
        <v>1</v>
      </c>
      <c r="V110" s="150">
        <f>+(V111+V112+V113+V114+V115)*E110</f>
        <v>0.11000000000000001</v>
      </c>
      <c r="W110" s="150">
        <f>+(W111+W112+W113+W114+W115)*E110</f>
        <v>0.2</v>
      </c>
      <c r="X110" s="129">
        <f>+AVERAGE(X111:X115)</f>
        <v>0.18888888888888888</v>
      </c>
      <c r="Y110" s="129">
        <f>+AVERAGE(Y111:Y115)</f>
        <v>0.76666666666666672</v>
      </c>
      <c r="Z110" s="129">
        <f>+(Z111+Z113+Z114+Z115)*E110</f>
        <v>2.7666666666666669E-2</v>
      </c>
      <c r="AA110" s="129">
        <f>+(AA111+AA113+AA114+AA115)</f>
        <v>0.51666666666666672</v>
      </c>
      <c r="AB110" s="117"/>
      <c r="AC110" s="106"/>
    </row>
    <row r="111" spans="1:29" ht="67.2" customHeight="1" thickBot="1" x14ac:dyDescent="0.4">
      <c r="A111" s="233"/>
      <c r="B111" s="791" t="s">
        <v>1037</v>
      </c>
      <c r="C111" s="935" t="s">
        <v>1236</v>
      </c>
      <c r="D111" s="235" t="s">
        <v>560</v>
      </c>
      <c r="E111" s="195">
        <v>0.2</v>
      </c>
      <c r="F111" s="193">
        <v>4</v>
      </c>
      <c r="G111" s="130">
        <v>0</v>
      </c>
      <c r="H111" s="130">
        <v>1</v>
      </c>
      <c r="I111" s="136"/>
      <c r="J111" s="136">
        <f t="shared" ref="J111:J115" si="145">+H111/F111</f>
        <v>0.25</v>
      </c>
      <c r="K111" s="136">
        <v>0</v>
      </c>
      <c r="L111" s="136">
        <f t="shared" ref="L111:L115" si="146">+(H111/F111)*E111</f>
        <v>0.05</v>
      </c>
      <c r="M111" s="203"/>
      <c r="N111" s="550">
        <v>1</v>
      </c>
      <c r="O111" s="550">
        <v>0</v>
      </c>
      <c r="P111" s="550">
        <v>4</v>
      </c>
      <c r="Q111" s="203"/>
      <c r="R111" s="203">
        <f t="shared" ref="R111:R115" si="147">+N111+O111+P111+Q111</f>
        <v>5</v>
      </c>
      <c r="S111" s="203">
        <f t="shared" ref="S111:S115" si="148">+R111+M111</f>
        <v>5</v>
      </c>
      <c r="T111" s="136"/>
      <c r="U111" s="152">
        <v>1</v>
      </c>
      <c r="V111" s="152"/>
      <c r="W111" s="152">
        <f t="shared" ref="W111:W115" si="149">+U111*E111</f>
        <v>0.2</v>
      </c>
      <c r="X111" s="152"/>
      <c r="Y111" s="152">
        <v>1</v>
      </c>
      <c r="Z111" s="136">
        <v>0</v>
      </c>
      <c r="AA111" s="136">
        <v>0</v>
      </c>
      <c r="AB111" s="117"/>
      <c r="AC111" s="106"/>
    </row>
    <row r="112" spans="1:29" ht="67.2" customHeight="1" thickBot="1" x14ac:dyDescent="0.4">
      <c r="A112" s="233"/>
      <c r="B112" s="791" t="s">
        <v>1038</v>
      </c>
      <c r="C112" s="935" t="s">
        <v>1237</v>
      </c>
      <c r="D112" s="235" t="s">
        <v>560</v>
      </c>
      <c r="E112" s="195">
        <v>0.2</v>
      </c>
      <c r="F112" s="193">
        <v>6</v>
      </c>
      <c r="G112" s="130">
        <v>0</v>
      </c>
      <c r="H112" s="130">
        <v>3</v>
      </c>
      <c r="I112" s="136"/>
      <c r="J112" s="136">
        <f t="shared" si="145"/>
        <v>0.5</v>
      </c>
      <c r="K112" s="136">
        <v>0</v>
      </c>
      <c r="L112" s="136">
        <f t="shared" si="146"/>
        <v>0.1</v>
      </c>
      <c r="M112" s="203"/>
      <c r="N112" s="550">
        <v>3</v>
      </c>
      <c r="O112" s="550">
        <v>0</v>
      </c>
      <c r="P112" s="550">
        <v>0</v>
      </c>
      <c r="Q112" s="203"/>
      <c r="R112" s="203">
        <f t="shared" si="147"/>
        <v>3</v>
      </c>
      <c r="S112" s="203">
        <f t="shared" si="148"/>
        <v>3</v>
      </c>
      <c r="T112" s="136"/>
      <c r="U112" s="152">
        <f t="shared" ref="U112:U115" si="150">+R112/H112</f>
        <v>1</v>
      </c>
      <c r="V112" s="152"/>
      <c r="W112" s="152">
        <f t="shared" si="149"/>
        <v>0.2</v>
      </c>
      <c r="X112" s="152"/>
      <c r="Y112" s="152">
        <f t="shared" ref="Y112:Y115" si="151">+S112/F112</f>
        <v>0.5</v>
      </c>
      <c r="Z112" s="136">
        <v>0</v>
      </c>
      <c r="AA112" s="136">
        <v>0</v>
      </c>
      <c r="AB112" s="117"/>
      <c r="AC112" s="106"/>
    </row>
    <row r="113" spans="1:29" ht="67.2" customHeight="1" thickBot="1" x14ac:dyDescent="0.4">
      <c r="A113" s="233"/>
      <c r="B113" s="791" t="s">
        <v>1039</v>
      </c>
      <c r="C113" s="935" t="s">
        <v>1238</v>
      </c>
      <c r="D113" s="235" t="s">
        <v>560</v>
      </c>
      <c r="E113" s="195">
        <v>0.35</v>
      </c>
      <c r="F113" s="193">
        <v>6</v>
      </c>
      <c r="G113" s="130">
        <v>1</v>
      </c>
      <c r="H113" s="130">
        <v>1</v>
      </c>
      <c r="I113" s="136">
        <f>+G113/F113</f>
        <v>0.16666666666666666</v>
      </c>
      <c r="J113" s="136">
        <f t="shared" si="145"/>
        <v>0.16666666666666666</v>
      </c>
      <c r="K113" s="136">
        <f>+(G113/F113)*E113</f>
        <v>5.8333333333333327E-2</v>
      </c>
      <c r="L113" s="136">
        <f t="shared" si="146"/>
        <v>5.8333333333333327E-2</v>
      </c>
      <c r="M113" s="203">
        <v>1</v>
      </c>
      <c r="N113" s="550">
        <v>1</v>
      </c>
      <c r="O113" s="550">
        <v>0</v>
      </c>
      <c r="P113" s="550">
        <v>3</v>
      </c>
      <c r="Q113" s="203"/>
      <c r="R113" s="203">
        <f t="shared" si="147"/>
        <v>4</v>
      </c>
      <c r="S113" s="203">
        <f t="shared" si="148"/>
        <v>5</v>
      </c>
      <c r="T113" s="136">
        <v>1</v>
      </c>
      <c r="U113" s="152">
        <v>1</v>
      </c>
      <c r="V113" s="152">
        <f>+T113*E113</f>
        <v>0.35</v>
      </c>
      <c r="W113" s="152">
        <f t="shared" si="149"/>
        <v>0.35</v>
      </c>
      <c r="X113" s="152">
        <f>+M113/F113</f>
        <v>0.16666666666666666</v>
      </c>
      <c r="Y113" s="152">
        <f t="shared" si="151"/>
        <v>0.83333333333333337</v>
      </c>
      <c r="Z113" s="136">
        <f>+X113*E113</f>
        <v>5.8333333333333327E-2</v>
      </c>
      <c r="AA113" s="136">
        <f>+Y113*E113</f>
        <v>0.29166666666666669</v>
      </c>
      <c r="AB113" s="117"/>
      <c r="AC113" s="106"/>
    </row>
    <row r="114" spans="1:29" ht="67.2" customHeight="1" thickBot="1" x14ac:dyDescent="0.4">
      <c r="A114" s="233"/>
      <c r="B114" s="791" t="s">
        <v>1040</v>
      </c>
      <c r="C114" s="935" t="s">
        <v>1239</v>
      </c>
      <c r="D114" s="235" t="s">
        <v>560</v>
      </c>
      <c r="E114" s="195">
        <v>0.2</v>
      </c>
      <c r="F114" s="193">
        <v>40</v>
      </c>
      <c r="G114" s="130">
        <v>10</v>
      </c>
      <c r="H114" s="130">
        <v>3</v>
      </c>
      <c r="I114" s="136">
        <f>+G114/F114</f>
        <v>0.25</v>
      </c>
      <c r="J114" s="136">
        <f t="shared" si="145"/>
        <v>7.4999999999999997E-2</v>
      </c>
      <c r="K114" s="136">
        <f>+(G114/F114)*E114</f>
        <v>0.05</v>
      </c>
      <c r="L114" s="136">
        <f t="shared" si="146"/>
        <v>1.4999999999999999E-2</v>
      </c>
      <c r="M114" s="203">
        <v>16</v>
      </c>
      <c r="N114" s="550">
        <v>0</v>
      </c>
      <c r="O114" s="550">
        <v>3</v>
      </c>
      <c r="P114" s="550">
        <v>0</v>
      </c>
      <c r="Q114" s="203"/>
      <c r="R114" s="203">
        <f t="shared" si="147"/>
        <v>3</v>
      </c>
      <c r="S114" s="203">
        <f t="shared" si="148"/>
        <v>19</v>
      </c>
      <c r="T114" s="136">
        <v>1</v>
      </c>
      <c r="U114" s="152">
        <f t="shared" si="150"/>
        <v>1</v>
      </c>
      <c r="V114" s="152">
        <f>+T114*E114</f>
        <v>0.2</v>
      </c>
      <c r="W114" s="152">
        <f t="shared" si="149"/>
        <v>0.2</v>
      </c>
      <c r="X114" s="152">
        <f>+M114/F114</f>
        <v>0.4</v>
      </c>
      <c r="Y114" s="152">
        <v>1</v>
      </c>
      <c r="Z114" s="136">
        <f>+X114*E114</f>
        <v>8.0000000000000016E-2</v>
      </c>
      <c r="AA114" s="136">
        <f>+Y114*E114</f>
        <v>0.2</v>
      </c>
      <c r="AB114" s="117"/>
      <c r="AC114" s="106"/>
    </row>
    <row r="115" spans="1:29" ht="67.2" customHeight="1" thickBot="1" x14ac:dyDescent="0.4">
      <c r="A115" s="233"/>
      <c r="B115" s="935" t="s">
        <v>1041</v>
      </c>
      <c r="C115" s="935" t="s">
        <v>1240</v>
      </c>
      <c r="D115" s="235" t="s">
        <v>560</v>
      </c>
      <c r="E115" s="195">
        <v>0.05</v>
      </c>
      <c r="F115" s="193">
        <v>1</v>
      </c>
      <c r="G115" s="130">
        <v>0</v>
      </c>
      <c r="H115" s="130">
        <v>0.5</v>
      </c>
      <c r="I115" s="136"/>
      <c r="J115" s="136">
        <f t="shared" si="145"/>
        <v>0.5</v>
      </c>
      <c r="K115" s="136"/>
      <c r="L115" s="136">
        <f t="shared" si="146"/>
        <v>2.5000000000000001E-2</v>
      </c>
      <c r="M115" s="130"/>
      <c r="N115" s="550"/>
      <c r="O115" s="550">
        <v>0.1</v>
      </c>
      <c r="P115" s="550">
        <v>0.4</v>
      </c>
      <c r="Q115" s="130"/>
      <c r="R115" s="130">
        <f t="shared" si="147"/>
        <v>0.5</v>
      </c>
      <c r="S115" s="130">
        <f t="shared" si="148"/>
        <v>0.5</v>
      </c>
      <c r="T115" s="136"/>
      <c r="U115" s="152">
        <f t="shared" si="150"/>
        <v>1</v>
      </c>
      <c r="V115" s="152"/>
      <c r="W115" s="152">
        <f t="shared" si="149"/>
        <v>0.05</v>
      </c>
      <c r="X115" s="811">
        <v>0</v>
      </c>
      <c r="Y115" s="811">
        <f t="shared" si="151"/>
        <v>0.5</v>
      </c>
      <c r="Z115" s="136">
        <v>0</v>
      </c>
      <c r="AA115" s="136">
        <f>+Y115*E115</f>
        <v>2.5000000000000001E-2</v>
      </c>
      <c r="AB115" s="117"/>
      <c r="AC115" s="106"/>
    </row>
    <row r="116" spans="1:29" ht="67.2" customHeight="1" thickBot="1" x14ac:dyDescent="0.4">
      <c r="A116" s="233"/>
      <c r="B116" s="991" t="s">
        <v>1706</v>
      </c>
      <c r="C116" s="977"/>
      <c r="D116" s="235"/>
      <c r="E116" s="199">
        <v>0.2</v>
      </c>
      <c r="F116" s="183"/>
      <c r="G116" s="123"/>
      <c r="H116" s="123"/>
      <c r="I116" s="129">
        <f>+AVERAGE(I117:I122)</f>
        <v>0.19999999999999998</v>
      </c>
      <c r="J116" s="129">
        <f>+AVERAGE(J117:J122)</f>
        <v>0.28150000000000003</v>
      </c>
      <c r="K116" s="129">
        <f>+K117+K118+K119+K120+K121+K122</f>
        <v>0.17499999999999999</v>
      </c>
      <c r="L116" s="129">
        <f>+L117+L118+L119+L120+L121+L122</f>
        <v>0.28525</v>
      </c>
      <c r="M116" s="128"/>
      <c r="N116" s="128"/>
      <c r="O116" s="128"/>
      <c r="P116" s="128"/>
      <c r="Q116" s="128"/>
      <c r="R116" s="128"/>
      <c r="S116" s="128"/>
      <c r="T116" s="150">
        <f>+AVERAGE(T117:T122)</f>
        <v>0.90600000000000003</v>
      </c>
      <c r="U116" s="150">
        <f>+AVERAGE(U117:U122)</f>
        <v>0.91185897435897445</v>
      </c>
      <c r="V116" s="150">
        <f>+(V117+V118+V119+V120+V121+V122)*E116</f>
        <v>0.18236000000000002</v>
      </c>
      <c r="W116" s="150">
        <f>+(W117+W118+W119+W120+W121+W122)*E116</f>
        <v>0.19471153846153846</v>
      </c>
      <c r="X116" s="129">
        <f>+AVERAGE(X117:X122)</f>
        <v>0.18400000000000002</v>
      </c>
      <c r="Y116" s="129">
        <f>+AVERAGE(Y117:Y122)</f>
        <v>0.47428333333333333</v>
      </c>
      <c r="Z116" s="129">
        <f>+(Z117+Z118+Z119+Z120+Z121+Z122)*E116</f>
        <v>3.2840000000000001E-2</v>
      </c>
      <c r="AA116" s="129">
        <f>+(AA117+AA118+AA119+AA120+AA121+AA122)</f>
        <v>0.47570499999999999</v>
      </c>
      <c r="AB116" s="117"/>
      <c r="AC116" s="106"/>
    </row>
    <row r="117" spans="1:29" ht="67.2" customHeight="1" thickBot="1" x14ac:dyDescent="0.4">
      <c r="A117" s="233"/>
      <c r="B117" s="791" t="s">
        <v>1042</v>
      </c>
      <c r="C117" s="935" t="s">
        <v>1241</v>
      </c>
      <c r="D117" s="235" t="s">
        <v>560</v>
      </c>
      <c r="E117" s="195">
        <v>0.05</v>
      </c>
      <c r="F117" s="193">
        <v>1</v>
      </c>
      <c r="G117" s="203">
        <v>0.25</v>
      </c>
      <c r="H117" s="203">
        <v>0.3</v>
      </c>
      <c r="I117" s="136">
        <f t="shared" ref="I117:I122" si="152">+G117/F117</f>
        <v>0.25</v>
      </c>
      <c r="J117" s="136">
        <f t="shared" ref="J117:J122" si="153">+H117/F117</f>
        <v>0.3</v>
      </c>
      <c r="K117" s="136">
        <f t="shared" ref="K117:K122" si="154">+(G117/F117)*E117</f>
        <v>1.2500000000000001E-2</v>
      </c>
      <c r="L117" s="136">
        <f t="shared" ref="L117:L122" si="155">+(H117/F117)*E117</f>
        <v>1.4999999999999999E-2</v>
      </c>
      <c r="M117" s="203">
        <v>0.19900000000000001</v>
      </c>
      <c r="N117" s="550">
        <v>2.4E-2</v>
      </c>
      <c r="O117" s="550">
        <v>0.03</v>
      </c>
      <c r="P117" s="550">
        <v>0.31559999999999999</v>
      </c>
      <c r="Q117" s="203"/>
      <c r="R117" s="203">
        <f t="shared" ref="R117:R122" si="156">+N117+O117+P117+Q117</f>
        <v>0.36959999999999998</v>
      </c>
      <c r="S117" s="203">
        <f t="shared" ref="S117:S122" si="157">+R117+M117</f>
        <v>0.56859999999999999</v>
      </c>
      <c r="T117" s="136">
        <f t="shared" ref="T117:T122" si="158">+(M117/G117)</f>
        <v>0.79600000000000004</v>
      </c>
      <c r="U117" s="152">
        <v>1</v>
      </c>
      <c r="V117" s="152">
        <f t="shared" ref="V117:V122" si="159">+T117*E117</f>
        <v>3.9800000000000002E-2</v>
      </c>
      <c r="W117" s="152">
        <f t="shared" ref="W117:W122" si="160">+U117*E117</f>
        <v>0.05</v>
      </c>
      <c r="X117" s="152">
        <f t="shared" ref="X117:X122" si="161">+M117/F117</f>
        <v>0.19900000000000001</v>
      </c>
      <c r="Y117" s="152">
        <f t="shared" ref="Y117:Y122" si="162">+S117/F117</f>
        <v>0.56859999999999999</v>
      </c>
      <c r="Z117" s="136">
        <f t="shared" ref="Z117:Z122" si="163">+X117*E117</f>
        <v>9.9500000000000005E-3</v>
      </c>
      <c r="AA117" s="136">
        <f t="shared" ref="AA117:AA122" si="164">+Y117*E117</f>
        <v>2.843E-2</v>
      </c>
      <c r="AB117" s="117"/>
      <c r="AC117" s="106"/>
    </row>
    <row r="118" spans="1:29" ht="83.4" customHeight="1" thickBot="1" x14ac:dyDescent="0.4">
      <c r="A118" s="233"/>
      <c r="B118" s="791" t="s">
        <v>1043</v>
      </c>
      <c r="C118" s="935" t="s">
        <v>1242</v>
      </c>
      <c r="D118" s="235" t="s">
        <v>560</v>
      </c>
      <c r="E118" s="195">
        <v>0.25</v>
      </c>
      <c r="F118" s="193">
        <v>1</v>
      </c>
      <c r="G118" s="203">
        <v>0.1</v>
      </c>
      <c r="H118" s="203">
        <v>0.32900000000000001</v>
      </c>
      <c r="I118" s="209">
        <f t="shared" si="152"/>
        <v>0.1</v>
      </c>
      <c r="J118" s="209">
        <f t="shared" si="153"/>
        <v>0.32900000000000001</v>
      </c>
      <c r="K118" s="209">
        <f t="shared" si="154"/>
        <v>2.5000000000000001E-2</v>
      </c>
      <c r="L118" s="209">
        <f t="shared" si="155"/>
        <v>8.2250000000000004E-2</v>
      </c>
      <c r="M118" s="208">
        <v>7.0000000000000007E-2</v>
      </c>
      <c r="N118" s="590">
        <v>2.9000000000000001E-2</v>
      </c>
      <c r="O118" s="590">
        <v>2.8000000000000001E-2</v>
      </c>
      <c r="P118" s="590">
        <v>0.29509999999999997</v>
      </c>
      <c r="Q118" s="208"/>
      <c r="R118" s="208">
        <f t="shared" si="156"/>
        <v>0.35209999999999997</v>
      </c>
      <c r="S118" s="208">
        <f t="shared" si="157"/>
        <v>0.42209999999999998</v>
      </c>
      <c r="T118" s="136">
        <f t="shared" si="158"/>
        <v>0.70000000000000007</v>
      </c>
      <c r="U118" s="152">
        <v>1</v>
      </c>
      <c r="V118" s="152">
        <f t="shared" si="159"/>
        <v>0.17500000000000002</v>
      </c>
      <c r="W118" s="152">
        <f t="shared" si="160"/>
        <v>0.25</v>
      </c>
      <c r="X118" s="152">
        <f t="shared" si="161"/>
        <v>7.0000000000000007E-2</v>
      </c>
      <c r="Y118" s="152">
        <f t="shared" si="162"/>
        <v>0.42209999999999998</v>
      </c>
      <c r="Z118" s="136">
        <f t="shared" si="163"/>
        <v>1.7500000000000002E-2</v>
      </c>
      <c r="AA118" s="136">
        <f t="shared" si="164"/>
        <v>0.10552499999999999</v>
      </c>
      <c r="AB118" s="117"/>
      <c r="AC118" s="106"/>
    </row>
    <row r="119" spans="1:29" ht="67.2" customHeight="1" thickBot="1" x14ac:dyDescent="0.4">
      <c r="A119" s="233"/>
      <c r="B119" s="935" t="s">
        <v>1044</v>
      </c>
      <c r="C119" s="935" t="s">
        <v>1243</v>
      </c>
      <c r="D119" s="235" t="s">
        <v>560</v>
      </c>
      <c r="E119" s="195">
        <v>0.05</v>
      </c>
      <c r="F119" s="193">
        <v>1</v>
      </c>
      <c r="G119" s="130">
        <v>0.25</v>
      </c>
      <c r="H119" s="130">
        <v>0.26</v>
      </c>
      <c r="I119" s="136">
        <f>+G119/F119</f>
        <v>0.25</v>
      </c>
      <c r="J119" s="136">
        <f t="shared" si="153"/>
        <v>0.26</v>
      </c>
      <c r="K119" s="136">
        <f t="shared" si="154"/>
        <v>1.2500000000000001E-2</v>
      </c>
      <c r="L119" s="136">
        <f t="shared" si="155"/>
        <v>1.3000000000000001E-2</v>
      </c>
      <c r="M119" s="130">
        <f>0.94*G119</f>
        <v>0.23499999999999999</v>
      </c>
      <c r="N119" s="550">
        <v>8.2500000000000004E-2</v>
      </c>
      <c r="O119" s="550">
        <v>7.4999999999999997E-3</v>
      </c>
      <c r="P119" s="550">
        <v>9.7500000000000003E-2</v>
      </c>
      <c r="Q119" s="130"/>
      <c r="R119" s="130">
        <f t="shared" si="156"/>
        <v>0.1875</v>
      </c>
      <c r="S119" s="130">
        <f t="shared" si="157"/>
        <v>0.42249999999999999</v>
      </c>
      <c r="T119" s="136">
        <f t="shared" si="158"/>
        <v>0.94</v>
      </c>
      <c r="U119" s="152">
        <f t="shared" ref="U119:U122" si="165">+R119/H119</f>
        <v>0.72115384615384615</v>
      </c>
      <c r="V119" s="152">
        <f t="shared" si="159"/>
        <v>4.7E-2</v>
      </c>
      <c r="W119" s="152">
        <f t="shared" si="160"/>
        <v>3.6057692307692311E-2</v>
      </c>
      <c r="X119" s="152">
        <f t="shared" si="161"/>
        <v>0.23499999999999999</v>
      </c>
      <c r="Y119" s="152">
        <f t="shared" si="162"/>
        <v>0.42249999999999999</v>
      </c>
      <c r="Z119" s="136">
        <f t="shared" si="163"/>
        <v>1.175E-2</v>
      </c>
      <c r="AA119" s="136">
        <f t="shared" si="164"/>
        <v>2.1125000000000001E-2</v>
      </c>
      <c r="AB119" s="117"/>
      <c r="AC119" s="106"/>
    </row>
    <row r="120" spans="1:29" ht="67.2" customHeight="1" thickBot="1" x14ac:dyDescent="0.4">
      <c r="A120" s="233"/>
      <c r="B120" s="791" t="s">
        <v>1045</v>
      </c>
      <c r="C120" s="935" t="s">
        <v>1244</v>
      </c>
      <c r="D120" s="235" t="s">
        <v>560</v>
      </c>
      <c r="E120" s="195">
        <v>0.25</v>
      </c>
      <c r="F120" s="193">
        <v>1</v>
      </c>
      <c r="G120" s="130">
        <v>0.1</v>
      </c>
      <c r="H120" s="130">
        <v>0.3</v>
      </c>
      <c r="I120" s="136">
        <f t="shared" si="152"/>
        <v>0.1</v>
      </c>
      <c r="J120" s="136">
        <f t="shared" si="153"/>
        <v>0.3</v>
      </c>
      <c r="K120" s="136">
        <f t="shared" si="154"/>
        <v>2.5000000000000001E-2</v>
      </c>
      <c r="L120" s="136">
        <f t="shared" si="155"/>
        <v>7.4999999999999997E-2</v>
      </c>
      <c r="M120" s="130">
        <v>0.1</v>
      </c>
      <c r="N120" s="550">
        <v>6.5000000000000002E-2</v>
      </c>
      <c r="O120" s="550">
        <v>0</v>
      </c>
      <c r="P120" s="550">
        <v>0.33</v>
      </c>
      <c r="Q120" s="130"/>
      <c r="R120" s="130">
        <f t="shared" si="156"/>
        <v>0.39500000000000002</v>
      </c>
      <c r="S120" s="130">
        <f t="shared" si="157"/>
        <v>0.495</v>
      </c>
      <c r="T120" s="136">
        <f t="shared" si="158"/>
        <v>1</v>
      </c>
      <c r="U120" s="152">
        <v>1</v>
      </c>
      <c r="V120" s="152">
        <f t="shared" si="159"/>
        <v>0.25</v>
      </c>
      <c r="W120" s="152">
        <f t="shared" si="160"/>
        <v>0.25</v>
      </c>
      <c r="X120" s="152">
        <f t="shared" si="161"/>
        <v>0.1</v>
      </c>
      <c r="Y120" s="152">
        <f t="shared" si="162"/>
        <v>0.495</v>
      </c>
      <c r="Z120" s="136">
        <f t="shared" si="163"/>
        <v>2.5000000000000001E-2</v>
      </c>
      <c r="AA120" s="136">
        <f t="shared" si="164"/>
        <v>0.12375</v>
      </c>
      <c r="AB120" s="117"/>
      <c r="AC120" s="106"/>
    </row>
    <row r="121" spans="1:29" ht="101.4" customHeight="1" thickBot="1" x14ac:dyDescent="0.4">
      <c r="A121" s="233"/>
      <c r="B121" s="782" t="s">
        <v>1046</v>
      </c>
      <c r="C121" s="782" t="s">
        <v>1245</v>
      </c>
      <c r="D121" s="235" t="s">
        <v>560</v>
      </c>
      <c r="E121" s="195">
        <v>0.05</v>
      </c>
      <c r="F121" s="193">
        <v>4</v>
      </c>
      <c r="G121" s="130">
        <v>1</v>
      </c>
      <c r="H121" s="585">
        <v>1</v>
      </c>
      <c r="I121" s="136">
        <f t="shared" si="152"/>
        <v>0.25</v>
      </c>
      <c r="J121" s="136">
        <f t="shared" si="153"/>
        <v>0.25</v>
      </c>
      <c r="K121" s="136">
        <f t="shared" si="154"/>
        <v>1.2500000000000001E-2</v>
      </c>
      <c r="L121" s="136">
        <f t="shared" si="155"/>
        <v>1.2500000000000001E-2</v>
      </c>
      <c r="M121" s="130">
        <v>1</v>
      </c>
      <c r="N121" s="550">
        <v>0.1</v>
      </c>
      <c r="O121" s="550">
        <v>0.5</v>
      </c>
      <c r="P121" s="550">
        <v>0.15</v>
      </c>
      <c r="Q121" s="130"/>
      <c r="R121" s="130">
        <f t="shared" si="156"/>
        <v>0.75</v>
      </c>
      <c r="S121" s="130">
        <f t="shared" si="157"/>
        <v>1.75</v>
      </c>
      <c r="T121" s="136">
        <f t="shared" si="158"/>
        <v>1</v>
      </c>
      <c r="U121" s="152">
        <f t="shared" si="165"/>
        <v>0.75</v>
      </c>
      <c r="V121" s="152">
        <f t="shared" si="159"/>
        <v>0.05</v>
      </c>
      <c r="W121" s="152">
        <f t="shared" si="160"/>
        <v>3.7500000000000006E-2</v>
      </c>
      <c r="X121" s="152">
        <f t="shared" si="161"/>
        <v>0.25</v>
      </c>
      <c r="Y121" s="152">
        <f t="shared" si="162"/>
        <v>0.4375</v>
      </c>
      <c r="Z121" s="136">
        <f t="shared" si="163"/>
        <v>1.2500000000000001E-2</v>
      </c>
      <c r="AA121" s="136">
        <f t="shared" si="164"/>
        <v>2.1875000000000002E-2</v>
      </c>
      <c r="AB121" s="117"/>
      <c r="AC121" s="106"/>
    </row>
    <row r="122" spans="1:29" ht="102" customHeight="1" thickBot="1" x14ac:dyDescent="0.4">
      <c r="A122" s="233"/>
      <c r="B122" s="791" t="s">
        <v>1047</v>
      </c>
      <c r="C122" s="935" t="s">
        <v>1246</v>
      </c>
      <c r="D122" s="235" t="s">
        <v>560</v>
      </c>
      <c r="E122" s="195">
        <v>0.35</v>
      </c>
      <c r="F122" s="193">
        <v>44</v>
      </c>
      <c r="G122" s="130">
        <v>11</v>
      </c>
      <c r="H122" s="130">
        <v>11</v>
      </c>
      <c r="I122" s="136">
        <f t="shared" si="152"/>
        <v>0.25</v>
      </c>
      <c r="J122" s="136">
        <f t="shared" si="153"/>
        <v>0.25</v>
      </c>
      <c r="K122" s="136">
        <f t="shared" si="154"/>
        <v>8.7499999999999994E-2</v>
      </c>
      <c r="L122" s="136">
        <f t="shared" si="155"/>
        <v>8.7499999999999994E-2</v>
      </c>
      <c r="M122" s="130">
        <v>11</v>
      </c>
      <c r="N122" s="550">
        <v>5</v>
      </c>
      <c r="O122" s="550">
        <v>2</v>
      </c>
      <c r="P122" s="130">
        <v>4</v>
      </c>
      <c r="Q122" s="130"/>
      <c r="R122" s="130">
        <f t="shared" si="156"/>
        <v>11</v>
      </c>
      <c r="S122" s="130">
        <f t="shared" si="157"/>
        <v>22</v>
      </c>
      <c r="T122" s="136">
        <f t="shared" si="158"/>
        <v>1</v>
      </c>
      <c r="U122" s="152">
        <f t="shared" si="165"/>
        <v>1</v>
      </c>
      <c r="V122" s="152">
        <f t="shared" si="159"/>
        <v>0.35</v>
      </c>
      <c r="W122" s="152">
        <f t="shared" si="160"/>
        <v>0.35</v>
      </c>
      <c r="X122" s="152">
        <f t="shared" si="161"/>
        <v>0.25</v>
      </c>
      <c r="Y122" s="152">
        <f t="shared" si="162"/>
        <v>0.5</v>
      </c>
      <c r="Z122" s="136">
        <f t="shared" si="163"/>
        <v>8.7499999999999994E-2</v>
      </c>
      <c r="AA122" s="136">
        <f t="shared" si="164"/>
        <v>0.17499999999999999</v>
      </c>
      <c r="AB122" s="117"/>
      <c r="AC122" s="106"/>
    </row>
    <row r="123" spans="1:29" ht="67.2" customHeight="1" thickBot="1" x14ac:dyDescent="0.4">
      <c r="A123" s="233"/>
      <c r="B123" s="991" t="s">
        <v>1707</v>
      </c>
      <c r="C123" s="977"/>
      <c r="D123" s="235"/>
      <c r="E123" s="199">
        <v>0.2</v>
      </c>
      <c r="F123" s="183"/>
      <c r="G123" s="123"/>
      <c r="H123" s="123"/>
      <c r="I123" s="129">
        <f>+AVERAGE(I124:I130)</f>
        <v>0.25</v>
      </c>
      <c r="J123" s="129">
        <f>+AVERAGE(J124:J130)</f>
        <v>0.27040816326530609</v>
      </c>
      <c r="K123" s="129">
        <f>K124+K125+K126+K127+K128+K129+K130</f>
        <v>0.2</v>
      </c>
      <c r="L123" s="129">
        <f>L124+L125+L126+L127+L128+L129+L130</f>
        <v>0.26428571428571429</v>
      </c>
      <c r="M123" s="128"/>
      <c r="N123" s="128"/>
      <c r="O123" s="128"/>
      <c r="P123" s="128"/>
      <c r="Q123" s="128"/>
      <c r="R123" s="128"/>
      <c r="S123" s="128"/>
      <c r="T123" s="150">
        <f>+AVERAGE(T124:T130)</f>
        <v>1</v>
      </c>
      <c r="U123" s="150">
        <f>+AVERAGE(U124:U130)</f>
        <v>0.59285714285714286</v>
      </c>
      <c r="V123" s="150">
        <f>+(V124+V125+V126+V127+V128+V129+V130)*E123</f>
        <v>0.16000000000000003</v>
      </c>
      <c r="W123" s="150">
        <f>+(W124+W125+W126+W127+W128+W129+W130)*E123</f>
        <v>0.11800000000000002</v>
      </c>
      <c r="X123" s="129">
        <f>+AVERAGE(X124:X130)</f>
        <v>0.25941666666666668</v>
      </c>
      <c r="Y123" s="245">
        <f>+AVERAGE(Y124:Y130)</f>
        <v>0.43590476190476191</v>
      </c>
      <c r="Z123" s="129">
        <f>+(Z124+Z125+Z126+Z127+Z128+Z129+Z130)*E123</f>
        <v>4.8570000000000002E-2</v>
      </c>
      <c r="AA123" s="129">
        <f>+(AA124+AA125+AA126+AA127+AA128+AA129+AA130)</f>
        <v>0.47270000000000001</v>
      </c>
      <c r="AB123" s="117"/>
      <c r="AC123" s="106"/>
    </row>
    <row r="124" spans="1:29" ht="67.2" customHeight="1" thickBot="1" x14ac:dyDescent="0.4">
      <c r="A124" s="233"/>
      <c r="B124" s="791" t="s">
        <v>1048</v>
      </c>
      <c r="C124" s="935" t="s">
        <v>1247</v>
      </c>
      <c r="D124" s="235" t="s">
        <v>560</v>
      </c>
      <c r="E124" s="195">
        <v>0.1</v>
      </c>
      <c r="F124" s="193">
        <v>16</v>
      </c>
      <c r="G124" s="130">
        <v>4</v>
      </c>
      <c r="H124" s="130">
        <v>4</v>
      </c>
      <c r="I124" s="136">
        <f t="shared" ref="I124:I129" si="166">+G124/F124</f>
        <v>0.25</v>
      </c>
      <c r="J124" s="136">
        <f t="shared" ref="J124:J130" si="167">+H124/F124</f>
        <v>0.25</v>
      </c>
      <c r="K124" s="136">
        <f t="shared" ref="K124:K129" si="168">+(G124/F124)*E124</f>
        <v>2.5000000000000001E-2</v>
      </c>
      <c r="L124" s="136">
        <f t="shared" ref="L124:L130" si="169">+(H124/F124)*E124</f>
        <v>2.5000000000000001E-2</v>
      </c>
      <c r="M124" s="203">
        <v>5</v>
      </c>
      <c r="N124" s="550">
        <v>1</v>
      </c>
      <c r="O124" s="550">
        <v>1</v>
      </c>
      <c r="P124" s="550">
        <v>1</v>
      </c>
      <c r="Q124" s="203"/>
      <c r="R124" s="203">
        <f t="shared" ref="R124:R130" si="170">+N124+O124+P124+Q124</f>
        <v>3</v>
      </c>
      <c r="S124" s="203">
        <f t="shared" ref="S124:S130" si="171">+R124+M124</f>
        <v>8</v>
      </c>
      <c r="T124" s="152">
        <v>1</v>
      </c>
      <c r="U124" s="152">
        <f t="shared" ref="U124:U141" si="172">+R124/H124</f>
        <v>0.75</v>
      </c>
      <c r="V124" s="152">
        <f>+T124*E124</f>
        <v>0.1</v>
      </c>
      <c r="W124" s="152">
        <f t="shared" ref="W124:W130" si="173">+U124*E124</f>
        <v>7.5000000000000011E-2</v>
      </c>
      <c r="X124" s="152">
        <f>+M124/F124</f>
        <v>0.3125</v>
      </c>
      <c r="Y124" s="152">
        <f t="shared" ref="Y124:Y130" si="174">+S124/F124</f>
        <v>0.5</v>
      </c>
      <c r="Z124" s="136">
        <f>+X124*E124</f>
        <v>3.125E-2</v>
      </c>
      <c r="AA124" s="136">
        <f>+Y124*E124</f>
        <v>0.05</v>
      </c>
      <c r="AB124" s="117"/>
      <c r="AC124" s="106"/>
    </row>
    <row r="125" spans="1:29" ht="67.2" customHeight="1" thickBot="1" x14ac:dyDescent="0.4">
      <c r="A125" s="233"/>
      <c r="B125" s="782" t="s">
        <v>1049</v>
      </c>
      <c r="C125" s="782" t="s">
        <v>1248</v>
      </c>
      <c r="D125" s="235" t="s">
        <v>560</v>
      </c>
      <c r="E125" s="195">
        <v>0.15</v>
      </c>
      <c r="F125" s="193">
        <v>92</v>
      </c>
      <c r="G125" s="130">
        <v>23</v>
      </c>
      <c r="H125" s="130">
        <v>23</v>
      </c>
      <c r="I125" s="136">
        <f t="shared" si="166"/>
        <v>0.25</v>
      </c>
      <c r="J125" s="136">
        <f t="shared" si="167"/>
        <v>0.25</v>
      </c>
      <c r="K125" s="136">
        <f t="shared" si="168"/>
        <v>3.7499999999999999E-2</v>
      </c>
      <c r="L125" s="136">
        <f t="shared" si="169"/>
        <v>3.7499999999999999E-2</v>
      </c>
      <c r="M125" s="203">
        <v>23</v>
      </c>
      <c r="N125" s="585">
        <v>23</v>
      </c>
      <c r="O125" s="550">
        <v>0</v>
      </c>
      <c r="P125" s="550">
        <v>0</v>
      </c>
      <c r="Q125" s="203"/>
      <c r="R125" s="203">
        <f t="shared" si="170"/>
        <v>23</v>
      </c>
      <c r="S125" s="203">
        <f t="shared" si="171"/>
        <v>46</v>
      </c>
      <c r="T125" s="152">
        <f>+(M125/G125)</f>
        <v>1</v>
      </c>
      <c r="U125" s="152">
        <v>0.5</v>
      </c>
      <c r="V125" s="152">
        <f>+T125*E125</f>
        <v>0.15</v>
      </c>
      <c r="W125" s="152">
        <f t="shared" si="173"/>
        <v>7.4999999999999997E-2</v>
      </c>
      <c r="X125" s="152">
        <f>+M125/F125</f>
        <v>0.25</v>
      </c>
      <c r="Y125" s="152">
        <f>+S125/F125</f>
        <v>0.5</v>
      </c>
      <c r="Z125" s="136">
        <f>+X125*E125</f>
        <v>3.7499999999999999E-2</v>
      </c>
      <c r="AA125" s="136">
        <f>+Y125*E125</f>
        <v>7.4999999999999997E-2</v>
      </c>
      <c r="AB125" s="117"/>
      <c r="AC125" s="106"/>
    </row>
    <row r="126" spans="1:29" ht="67.2" customHeight="1" thickBot="1" x14ac:dyDescent="0.4">
      <c r="A126" s="233"/>
      <c r="B126" s="791" t="s">
        <v>1050</v>
      </c>
      <c r="C126" s="935" t="s">
        <v>1249</v>
      </c>
      <c r="D126" s="235" t="s">
        <v>560</v>
      </c>
      <c r="E126" s="195">
        <v>0.15</v>
      </c>
      <c r="F126" s="193">
        <v>1500</v>
      </c>
      <c r="G126" s="130">
        <v>375</v>
      </c>
      <c r="H126" s="130">
        <v>375</v>
      </c>
      <c r="I126" s="136">
        <f t="shared" si="166"/>
        <v>0.25</v>
      </c>
      <c r="J126" s="136">
        <f t="shared" si="167"/>
        <v>0.25</v>
      </c>
      <c r="K126" s="136">
        <f t="shared" si="168"/>
        <v>3.7499999999999999E-2</v>
      </c>
      <c r="L126" s="136">
        <f t="shared" si="169"/>
        <v>3.7499999999999999E-2</v>
      </c>
      <c r="M126" s="203">
        <v>741</v>
      </c>
      <c r="N126" s="550">
        <v>80</v>
      </c>
      <c r="O126" s="550">
        <v>197</v>
      </c>
      <c r="P126" s="550">
        <v>259</v>
      </c>
      <c r="Q126" s="203"/>
      <c r="R126" s="203">
        <f t="shared" si="170"/>
        <v>536</v>
      </c>
      <c r="S126" s="203">
        <f t="shared" si="171"/>
        <v>1277</v>
      </c>
      <c r="T126" s="152">
        <v>1</v>
      </c>
      <c r="U126" s="152">
        <v>1</v>
      </c>
      <c r="V126" s="152">
        <f>+T126*E126</f>
        <v>0.15</v>
      </c>
      <c r="W126" s="152">
        <f t="shared" si="173"/>
        <v>0.15</v>
      </c>
      <c r="X126" s="152">
        <f>+M126/F126</f>
        <v>0.49399999999999999</v>
      </c>
      <c r="Y126" s="152">
        <f t="shared" si="174"/>
        <v>0.85133333333333339</v>
      </c>
      <c r="Z126" s="136">
        <f>+X126*E126</f>
        <v>7.4099999999999999E-2</v>
      </c>
      <c r="AA126" s="136">
        <f>+Y126*E126</f>
        <v>0.12770000000000001</v>
      </c>
      <c r="AB126" s="117"/>
      <c r="AC126" s="106"/>
    </row>
    <row r="127" spans="1:29" ht="67.2" customHeight="1" thickBot="1" x14ac:dyDescent="0.4">
      <c r="A127" s="233"/>
      <c r="B127" s="936" t="s">
        <v>1051</v>
      </c>
      <c r="C127" s="936" t="s">
        <v>1250</v>
      </c>
      <c r="D127" s="235" t="s">
        <v>560</v>
      </c>
      <c r="E127" s="195">
        <v>0.1</v>
      </c>
      <c r="F127" s="193">
        <v>12</v>
      </c>
      <c r="G127" s="130">
        <v>3</v>
      </c>
      <c r="H127" s="130">
        <v>3</v>
      </c>
      <c r="I127" s="136">
        <f t="shared" si="166"/>
        <v>0.25</v>
      </c>
      <c r="J127" s="136">
        <f t="shared" si="167"/>
        <v>0.25</v>
      </c>
      <c r="K127" s="136">
        <f t="shared" si="168"/>
        <v>2.5000000000000001E-2</v>
      </c>
      <c r="L127" s="136">
        <f t="shared" si="169"/>
        <v>2.5000000000000001E-2</v>
      </c>
      <c r="M127" s="203">
        <v>3</v>
      </c>
      <c r="N127" s="550">
        <v>1</v>
      </c>
      <c r="O127" s="550">
        <v>1</v>
      </c>
      <c r="P127" s="550">
        <v>1</v>
      </c>
      <c r="Q127" s="203"/>
      <c r="R127" s="203">
        <f t="shared" si="170"/>
        <v>3</v>
      </c>
      <c r="S127" s="203">
        <f t="shared" si="171"/>
        <v>6</v>
      </c>
      <c r="T127" s="152">
        <f>+(M127/G127)</f>
        <v>1</v>
      </c>
      <c r="U127" s="152">
        <f t="shared" si="172"/>
        <v>1</v>
      </c>
      <c r="V127" s="152">
        <f>+T127*E127</f>
        <v>0.1</v>
      </c>
      <c r="W127" s="152">
        <f t="shared" si="173"/>
        <v>0.1</v>
      </c>
      <c r="X127" s="152">
        <f>+M127/F127</f>
        <v>0.25</v>
      </c>
      <c r="Y127" s="152">
        <f t="shared" si="174"/>
        <v>0.5</v>
      </c>
      <c r="Z127" s="136">
        <f>+X127*E127</f>
        <v>2.5000000000000001E-2</v>
      </c>
      <c r="AA127" s="136">
        <f>+Y127*E127</f>
        <v>0.05</v>
      </c>
      <c r="AB127" s="117"/>
      <c r="AC127" s="106"/>
    </row>
    <row r="128" spans="1:29" ht="101.4" customHeight="1" thickBot="1" x14ac:dyDescent="0.4">
      <c r="A128" s="233"/>
      <c r="B128" s="791" t="s">
        <v>1052</v>
      </c>
      <c r="C128" s="935" t="s">
        <v>1251</v>
      </c>
      <c r="D128" s="235" t="s">
        <v>560</v>
      </c>
      <c r="E128" s="195">
        <v>0.1</v>
      </c>
      <c r="F128" s="193">
        <v>1</v>
      </c>
      <c r="G128" s="203">
        <v>0</v>
      </c>
      <c r="H128" s="203">
        <v>0.5</v>
      </c>
      <c r="I128" s="136"/>
      <c r="J128" s="136">
        <f t="shared" si="167"/>
        <v>0.5</v>
      </c>
      <c r="K128" s="136"/>
      <c r="L128" s="136">
        <f t="shared" si="169"/>
        <v>0.05</v>
      </c>
      <c r="M128" s="203"/>
      <c r="N128" s="550">
        <v>0</v>
      </c>
      <c r="O128" s="550">
        <v>0.1</v>
      </c>
      <c r="P128" s="550">
        <v>0.1</v>
      </c>
      <c r="Q128" s="203"/>
      <c r="R128" s="203">
        <f t="shared" si="170"/>
        <v>0.2</v>
      </c>
      <c r="S128" s="203">
        <f t="shared" si="171"/>
        <v>0.2</v>
      </c>
      <c r="T128" s="152"/>
      <c r="U128" s="152">
        <f t="shared" si="172"/>
        <v>0.4</v>
      </c>
      <c r="V128" s="152"/>
      <c r="W128" s="152">
        <f t="shared" si="173"/>
        <v>4.0000000000000008E-2</v>
      </c>
      <c r="X128" s="811">
        <v>0</v>
      </c>
      <c r="Y128" s="811">
        <f t="shared" si="174"/>
        <v>0.2</v>
      </c>
      <c r="Z128" s="136"/>
      <c r="AA128" s="136">
        <f t="shared" ref="AA128:AA130" si="175">+Y128*E128</f>
        <v>2.0000000000000004E-2</v>
      </c>
      <c r="AB128" s="117"/>
      <c r="AC128" s="106"/>
    </row>
    <row r="129" spans="1:29" ht="67.2" customHeight="1" thickBot="1" x14ac:dyDescent="0.4">
      <c r="A129" s="233"/>
      <c r="B129" s="782" t="s">
        <v>1053</v>
      </c>
      <c r="C129" s="782" t="s">
        <v>1252</v>
      </c>
      <c r="D129" s="235" t="s">
        <v>560</v>
      </c>
      <c r="E129" s="195">
        <v>0.3</v>
      </c>
      <c r="F129" s="193">
        <f>21*4</f>
        <v>84</v>
      </c>
      <c r="G129" s="130">
        <v>21</v>
      </c>
      <c r="H129" s="130">
        <v>21</v>
      </c>
      <c r="I129" s="136">
        <f t="shared" si="166"/>
        <v>0.25</v>
      </c>
      <c r="J129" s="136">
        <f t="shared" si="167"/>
        <v>0.25</v>
      </c>
      <c r="K129" s="136">
        <f t="shared" si="168"/>
        <v>7.4999999999999997E-2</v>
      </c>
      <c r="L129" s="136">
        <f t="shared" si="169"/>
        <v>7.4999999999999997E-2</v>
      </c>
      <c r="M129" s="130">
        <v>21</v>
      </c>
      <c r="N129" s="585">
        <v>21</v>
      </c>
      <c r="O129" s="550">
        <v>0</v>
      </c>
      <c r="P129" s="550">
        <v>0</v>
      </c>
      <c r="Q129" s="130"/>
      <c r="R129" s="130">
        <f t="shared" si="170"/>
        <v>21</v>
      </c>
      <c r="S129" s="130">
        <f t="shared" si="171"/>
        <v>42</v>
      </c>
      <c r="T129" s="152">
        <f>+(M129/G129)</f>
        <v>1</v>
      </c>
      <c r="U129" s="152">
        <v>0.5</v>
      </c>
      <c r="V129" s="152">
        <f>+T129*E129</f>
        <v>0.3</v>
      </c>
      <c r="W129" s="152">
        <f t="shared" si="173"/>
        <v>0.15</v>
      </c>
      <c r="X129" s="152">
        <f>+M129/F129</f>
        <v>0.25</v>
      </c>
      <c r="Y129" s="152">
        <f>+S129/F129</f>
        <v>0.5</v>
      </c>
      <c r="Z129" s="136">
        <f>+X129*E129</f>
        <v>7.4999999999999997E-2</v>
      </c>
      <c r="AA129" s="136">
        <f t="shared" si="175"/>
        <v>0.15</v>
      </c>
      <c r="AB129" s="117"/>
      <c r="AC129" s="106"/>
    </row>
    <row r="130" spans="1:29" ht="67.2" customHeight="1" thickBot="1" x14ac:dyDescent="0.4">
      <c r="A130" s="233"/>
      <c r="B130" s="935" t="s">
        <v>1054</v>
      </c>
      <c r="C130" s="935" t="s">
        <v>1253</v>
      </c>
      <c r="D130" s="235" t="s">
        <v>560</v>
      </c>
      <c r="E130" s="195">
        <v>0.1</v>
      </c>
      <c r="F130" s="193">
        <v>7</v>
      </c>
      <c r="G130" s="130">
        <v>0</v>
      </c>
      <c r="H130" s="130">
        <v>1</v>
      </c>
      <c r="I130" s="136"/>
      <c r="J130" s="136">
        <f t="shared" si="167"/>
        <v>0.14285714285714285</v>
      </c>
      <c r="K130" s="136"/>
      <c r="L130" s="136">
        <f t="shared" si="169"/>
        <v>1.4285714285714285E-2</v>
      </c>
      <c r="M130" s="203"/>
      <c r="N130" s="550">
        <v>0</v>
      </c>
      <c r="O130" s="550">
        <v>0</v>
      </c>
      <c r="P130" s="550">
        <v>0</v>
      </c>
      <c r="Q130" s="203"/>
      <c r="R130" s="203">
        <f t="shared" si="170"/>
        <v>0</v>
      </c>
      <c r="S130" s="203">
        <f t="shared" si="171"/>
        <v>0</v>
      </c>
      <c r="T130" s="152"/>
      <c r="U130" s="152">
        <f t="shared" si="172"/>
        <v>0</v>
      </c>
      <c r="V130" s="152"/>
      <c r="W130" s="152">
        <f t="shared" si="173"/>
        <v>0</v>
      </c>
      <c r="X130" s="152"/>
      <c r="Y130" s="152">
        <f t="shared" si="174"/>
        <v>0</v>
      </c>
      <c r="Z130" s="136"/>
      <c r="AA130" s="136">
        <f t="shared" si="175"/>
        <v>0</v>
      </c>
      <c r="AB130" s="117"/>
      <c r="AC130" s="106"/>
    </row>
    <row r="131" spans="1:29" ht="67.2" customHeight="1" thickBot="1" x14ac:dyDescent="0.4">
      <c r="A131" s="233"/>
      <c r="B131" s="991" t="s">
        <v>1708</v>
      </c>
      <c r="C131" s="977"/>
      <c r="D131" s="235"/>
      <c r="E131" s="199">
        <v>0.15</v>
      </c>
      <c r="F131" s="183"/>
      <c r="G131" s="123"/>
      <c r="H131" s="123"/>
      <c r="I131" s="129">
        <f>+AVERAGE(I132:I133)</f>
        <v>0.41111111111111109</v>
      </c>
      <c r="J131" s="129">
        <f>+AVERAGE(J132:J133)</f>
        <v>0.41111111111111109</v>
      </c>
      <c r="K131" s="129">
        <f>+K132+K133</f>
        <v>0.37333333333333329</v>
      </c>
      <c r="L131" s="129">
        <f>+L132+L133</f>
        <v>0.37333333333333329</v>
      </c>
      <c r="M131" s="128"/>
      <c r="N131" s="128"/>
      <c r="O131" s="128"/>
      <c r="P131" s="128"/>
      <c r="Q131" s="128"/>
      <c r="R131" s="128"/>
      <c r="S131" s="128"/>
      <c r="T131" s="150">
        <f>+AVERAGE(T132:T133)</f>
        <v>1</v>
      </c>
      <c r="U131" s="150">
        <f>+AVERAGE(U132:U133)</f>
        <v>1</v>
      </c>
      <c r="V131" s="150">
        <f>+(V132+V133)*E131</f>
        <v>0.15</v>
      </c>
      <c r="W131" s="150">
        <f>+(W132+W133)*E131</f>
        <v>0.15</v>
      </c>
      <c r="X131" s="129">
        <f>+AVERAGE(X132:X133)</f>
        <v>0.31111111111111112</v>
      </c>
      <c r="Y131" s="129">
        <f>+AVERAGE(Y132:Y133)</f>
        <v>0.72222222222222221</v>
      </c>
      <c r="Z131" s="129">
        <f>+(Z132+Z133)*E131</f>
        <v>4.3999999999999997E-2</v>
      </c>
      <c r="AA131" s="129">
        <f>+(AA132+AA133)</f>
        <v>0.66666666666666674</v>
      </c>
      <c r="AB131" s="117"/>
      <c r="AC131" s="106"/>
    </row>
    <row r="132" spans="1:29" ht="67.2" customHeight="1" thickBot="1" x14ac:dyDescent="0.4">
      <c r="A132" s="233"/>
      <c r="B132" s="791" t="s">
        <v>1055</v>
      </c>
      <c r="C132" s="935" t="s">
        <v>1254</v>
      </c>
      <c r="D132" s="235" t="s">
        <v>560</v>
      </c>
      <c r="E132" s="195">
        <v>0.6</v>
      </c>
      <c r="F132" s="193">
        <v>9</v>
      </c>
      <c r="G132" s="130">
        <v>2</v>
      </c>
      <c r="H132" s="130">
        <v>2</v>
      </c>
      <c r="I132" s="136">
        <f>+G132/F132</f>
        <v>0.22222222222222221</v>
      </c>
      <c r="J132" s="136">
        <f t="shared" ref="J132:J133" si="176">+H132/F132</f>
        <v>0.22222222222222221</v>
      </c>
      <c r="K132" s="136">
        <f>+(G132/F132)*E132</f>
        <v>0.13333333333333333</v>
      </c>
      <c r="L132" s="136">
        <f t="shared" ref="L132:L133" si="177">+(H132/F132)*E132</f>
        <v>0.13333333333333333</v>
      </c>
      <c r="M132" s="130">
        <v>2</v>
      </c>
      <c r="N132" s="550">
        <v>0</v>
      </c>
      <c r="O132" s="550">
        <v>0</v>
      </c>
      <c r="P132" s="550">
        <v>2</v>
      </c>
      <c r="Q132" s="130"/>
      <c r="R132" s="130">
        <f t="shared" ref="R132:R133" si="178">+N132+O132+P132+Q132</f>
        <v>2</v>
      </c>
      <c r="S132" s="130">
        <f t="shared" ref="S132:S133" si="179">+R132+M132</f>
        <v>4</v>
      </c>
      <c r="T132" s="136">
        <f>+(M132/G132)</f>
        <v>1</v>
      </c>
      <c r="U132" s="136">
        <f t="shared" si="172"/>
        <v>1</v>
      </c>
      <c r="V132" s="136">
        <f>+T132*E132</f>
        <v>0.6</v>
      </c>
      <c r="W132" s="136">
        <f t="shared" ref="W132:W133" si="180">+U132*E132</f>
        <v>0.6</v>
      </c>
      <c r="X132" s="136">
        <f>+M132/F132</f>
        <v>0.22222222222222221</v>
      </c>
      <c r="Y132" s="136">
        <f t="shared" ref="Y132" si="181">+S132/F132</f>
        <v>0.44444444444444442</v>
      </c>
      <c r="Z132" s="136">
        <f>+X132*E132</f>
        <v>0.13333333333333333</v>
      </c>
      <c r="AA132" s="136">
        <f>+Y132*E132</f>
        <v>0.26666666666666666</v>
      </c>
      <c r="AB132" s="117"/>
      <c r="AC132" s="106"/>
    </row>
    <row r="133" spans="1:29" ht="67.2" customHeight="1" thickBot="1" x14ac:dyDescent="0.4">
      <c r="A133" s="233"/>
      <c r="B133" s="791" t="s">
        <v>1056</v>
      </c>
      <c r="C133" s="935" t="s">
        <v>1255</v>
      </c>
      <c r="D133" s="235" t="s">
        <v>560</v>
      </c>
      <c r="E133" s="195">
        <v>0.4</v>
      </c>
      <c r="F133" s="193">
        <v>5</v>
      </c>
      <c r="G133" s="130">
        <v>3</v>
      </c>
      <c r="H133" s="130">
        <v>3</v>
      </c>
      <c r="I133" s="136">
        <f>+G133/F133</f>
        <v>0.6</v>
      </c>
      <c r="J133" s="136">
        <f t="shared" si="176"/>
        <v>0.6</v>
      </c>
      <c r="K133" s="136">
        <f>+(G133/F133)*E133</f>
        <v>0.24</v>
      </c>
      <c r="L133" s="136">
        <f t="shared" si="177"/>
        <v>0.24</v>
      </c>
      <c r="M133" s="130">
        <v>2</v>
      </c>
      <c r="N133" s="550">
        <v>0</v>
      </c>
      <c r="O133" s="550">
        <v>3</v>
      </c>
      <c r="P133" s="550">
        <v>3</v>
      </c>
      <c r="Q133" s="130"/>
      <c r="R133" s="130">
        <f t="shared" si="178"/>
        <v>6</v>
      </c>
      <c r="S133" s="130">
        <f t="shared" si="179"/>
        <v>8</v>
      </c>
      <c r="T133" s="136">
        <v>1</v>
      </c>
      <c r="U133" s="136">
        <v>1</v>
      </c>
      <c r="V133" s="136">
        <f>+T133*E133</f>
        <v>0.4</v>
      </c>
      <c r="W133" s="136">
        <f t="shared" si="180"/>
        <v>0.4</v>
      </c>
      <c r="X133" s="136">
        <f>+M133/F133</f>
        <v>0.4</v>
      </c>
      <c r="Y133" s="136">
        <v>1</v>
      </c>
      <c r="Z133" s="136">
        <f>+X133*E133</f>
        <v>0.16000000000000003</v>
      </c>
      <c r="AA133" s="136">
        <f>+Y133*E133</f>
        <v>0.4</v>
      </c>
      <c r="AB133" s="117"/>
      <c r="AC133" s="106"/>
    </row>
    <row r="134" spans="1:29" ht="67.2" customHeight="1" thickBot="1" x14ac:dyDescent="0.4">
      <c r="A134" s="233"/>
      <c r="B134" s="991" t="s">
        <v>1765</v>
      </c>
      <c r="C134" s="977"/>
      <c r="D134" s="235"/>
      <c r="E134" s="199">
        <v>0.2</v>
      </c>
      <c r="F134" s="183"/>
      <c r="G134" s="123"/>
      <c r="H134" s="123"/>
      <c r="I134" s="129">
        <f>+AVERAGE(I135:I138)</f>
        <v>0.25</v>
      </c>
      <c r="J134" s="129">
        <f>+AVERAGE(J135:J138)</f>
        <v>0.25</v>
      </c>
      <c r="K134" s="129">
        <f>+K135+K136+K137+K138</f>
        <v>0.2</v>
      </c>
      <c r="L134" s="129">
        <f>+L135+L136+L137+L138</f>
        <v>0.27500000000000002</v>
      </c>
      <c r="M134" s="128"/>
      <c r="N134" s="128"/>
      <c r="O134" s="128"/>
      <c r="P134" s="128"/>
      <c r="Q134" s="128"/>
      <c r="R134" s="128"/>
      <c r="S134" s="128"/>
      <c r="T134" s="150">
        <f>+AVERAGE(T135:T138)</f>
        <v>0.625</v>
      </c>
      <c r="U134" s="150">
        <f>+AVERAGE(U135:U138)</f>
        <v>0.39666666666666667</v>
      </c>
      <c r="V134" s="150">
        <f>+(V135+V136+V137+V138)*E134</f>
        <v>0.1</v>
      </c>
      <c r="W134" s="150">
        <f>+(W135+W136+W137+W138)*F134</f>
        <v>0</v>
      </c>
      <c r="X134" s="129">
        <f>+AVERAGE(X135:X138)</f>
        <v>0.15625</v>
      </c>
      <c r="Y134" s="129">
        <f>+X134+((Y137-X137)/4)+((Y138-X138)/4)+((Y135-X135)/4)</f>
        <v>0.25812499999999999</v>
      </c>
      <c r="Z134" s="129">
        <f>+(Z135+Z136+Z137+Z138)*E134</f>
        <v>2.5000000000000001E-2</v>
      </c>
      <c r="AA134" s="129">
        <f>+(AA135+AA136+AA137+AA138)</f>
        <v>0.23299999999999998</v>
      </c>
      <c r="AB134" s="117"/>
      <c r="AC134" s="106"/>
    </row>
    <row r="135" spans="1:29" ht="95.4" customHeight="1" thickBot="1" x14ac:dyDescent="0.4">
      <c r="A135" s="233"/>
      <c r="B135" s="935" t="s">
        <v>1057</v>
      </c>
      <c r="C135" s="935" t="s">
        <v>1256</v>
      </c>
      <c r="D135" s="235" t="s">
        <v>1058</v>
      </c>
      <c r="E135" s="195">
        <v>0.15</v>
      </c>
      <c r="F135" s="193">
        <v>1</v>
      </c>
      <c r="G135" s="130">
        <v>0</v>
      </c>
      <c r="H135" s="130">
        <v>0.5</v>
      </c>
      <c r="I135" s="136"/>
      <c r="J135" s="136">
        <f t="shared" ref="J135:J138" si="182">+H135/F135</f>
        <v>0.5</v>
      </c>
      <c r="K135" s="136"/>
      <c r="L135" s="136">
        <f t="shared" ref="L135:L138" si="183">+(H135/F135)*E135</f>
        <v>7.4999999999999997E-2</v>
      </c>
      <c r="M135" s="130"/>
      <c r="N135" s="550"/>
      <c r="O135" s="550"/>
      <c r="P135" s="550">
        <v>0.22</v>
      </c>
      <c r="Q135" s="130"/>
      <c r="R135" s="130">
        <f t="shared" ref="R135:R138" si="184">+N135+O135+P135+Q135</f>
        <v>0.22</v>
      </c>
      <c r="S135" s="130">
        <f t="shared" ref="S135:S138" si="185">+R135+M135</f>
        <v>0.22</v>
      </c>
      <c r="T135" s="136"/>
      <c r="U135" s="136">
        <f t="shared" si="172"/>
        <v>0.44</v>
      </c>
      <c r="V135" s="136"/>
      <c r="W135" s="136"/>
      <c r="X135" s="136"/>
      <c r="Y135" s="136">
        <f t="shared" ref="Y135:Y138" si="186">+S135/F135</f>
        <v>0.22</v>
      </c>
      <c r="Z135" s="136"/>
      <c r="AA135" s="136">
        <f>+Y135*E135</f>
        <v>3.3000000000000002E-2</v>
      </c>
      <c r="AB135" s="117"/>
      <c r="AC135" s="106"/>
    </row>
    <row r="136" spans="1:29" ht="67.2" customHeight="1" thickBot="1" x14ac:dyDescent="0.4">
      <c r="A136" s="233"/>
      <c r="B136" s="935" t="s">
        <v>1059</v>
      </c>
      <c r="C136" s="935" t="s">
        <v>1257</v>
      </c>
      <c r="D136" s="235" t="s">
        <v>560</v>
      </c>
      <c r="E136" s="195">
        <v>0.05</v>
      </c>
      <c r="F136" s="193">
        <v>1</v>
      </c>
      <c r="G136" s="130">
        <v>0</v>
      </c>
      <c r="H136" s="130">
        <v>0</v>
      </c>
      <c r="I136" s="136"/>
      <c r="J136" s="136">
        <f t="shared" si="182"/>
        <v>0</v>
      </c>
      <c r="K136" s="136"/>
      <c r="L136" s="136">
        <f t="shared" si="183"/>
        <v>0</v>
      </c>
      <c r="M136" s="130"/>
      <c r="N136" s="550"/>
      <c r="O136" s="550"/>
      <c r="P136" s="550"/>
      <c r="Q136" s="130"/>
      <c r="R136" s="130">
        <f t="shared" si="184"/>
        <v>0</v>
      </c>
      <c r="S136" s="130">
        <f t="shared" si="185"/>
        <v>0</v>
      </c>
      <c r="T136" s="136"/>
      <c r="U136" s="136"/>
      <c r="V136" s="136"/>
      <c r="W136" s="136"/>
      <c r="X136" s="136"/>
      <c r="Y136" s="136"/>
      <c r="Z136" s="136"/>
      <c r="AA136" s="136">
        <f>+Y136*E136</f>
        <v>0</v>
      </c>
      <c r="AB136" s="117"/>
      <c r="AC136" s="106"/>
    </row>
    <row r="137" spans="1:29" ht="67.2" customHeight="1" thickBot="1" x14ac:dyDescent="0.4">
      <c r="A137" s="233"/>
      <c r="B137" s="791" t="s">
        <v>1060</v>
      </c>
      <c r="C137" s="935" t="s">
        <v>1258</v>
      </c>
      <c r="D137" s="235" t="s">
        <v>560</v>
      </c>
      <c r="E137" s="195">
        <v>0.4</v>
      </c>
      <c r="F137" s="193">
        <v>48</v>
      </c>
      <c r="G137" s="130">
        <v>12</v>
      </c>
      <c r="H137" s="130">
        <v>12</v>
      </c>
      <c r="I137" s="136">
        <f>+G137/F137</f>
        <v>0.25</v>
      </c>
      <c r="J137" s="136">
        <f t="shared" si="182"/>
        <v>0.25</v>
      </c>
      <c r="K137" s="136">
        <f>+(G137/F137)*E137</f>
        <v>0.1</v>
      </c>
      <c r="L137" s="136">
        <f t="shared" si="183"/>
        <v>0.1</v>
      </c>
      <c r="M137" s="130">
        <v>11</v>
      </c>
      <c r="N137" s="550">
        <v>0</v>
      </c>
      <c r="O137" s="550">
        <v>2</v>
      </c>
      <c r="P137" s="550">
        <v>3</v>
      </c>
      <c r="Q137" s="130"/>
      <c r="R137" s="130">
        <f t="shared" si="184"/>
        <v>5</v>
      </c>
      <c r="S137" s="130">
        <f t="shared" si="185"/>
        <v>16</v>
      </c>
      <c r="T137" s="136">
        <f>+(M137/G137)</f>
        <v>0.91666666666666663</v>
      </c>
      <c r="U137" s="136">
        <f t="shared" si="172"/>
        <v>0.41666666666666669</v>
      </c>
      <c r="V137" s="136">
        <f>+T137*E137</f>
        <v>0.3666666666666667</v>
      </c>
      <c r="W137" s="136">
        <f t="shared" ref="W137:W138" si="187">+U137*E137</f>
        <v>0.16666666666666669</v>
      </c>
      <c r="X137" s="136">
        <f>+M137/F137</f>
        <v>0.22916666666666666</v>
      </c>
      <c r="Y137" s="136">
        <f t="shared" si="186"/>
        <v>0.33333333333333331</v>
      </c>
      <c r="Z137" s="136">
        <f>+X137*E137</f>
        <v>9.1666666666666674E-2</v>
      </c>
      <c r="AA137" s="136">
        <f>+Y137*E137</f>
        <v>0.13333333333333333</v>
      </c>
      <c r="AB137" s="117"/>
      <c r="AC137" s="106"/>
    </row>
    <row r="138" spans="1:29" ht="148.94999999999999" customHeight="1" thickBot="1" x14ac:dyDescent="0.4">
      <c r="A138" s="233"/>
      <c r="B138" s="791" t="s">
        <v>1061</v>
      </c>
      <c r="C138" s="935" t="s">
        <v>1259</v>
      </c>
      <c r="D138" s="235" t="s">
        <v>560</v>
      </c>
      <c r="E138" s="195">
        <v>0.4</v>
      </c>
      <c r="F138" s="193">
        <v>12</v>
      </c>
      <c r="G138" s="130">
        <v>3</v>
      </c>
      <c r="H138" s="130">
        <v>3</v>
      </c>
      <c r="I138" s="136">
        <f>+G138/F138</f>
        <v>0.25</v>
      </c>
      <c r="J138" s="136">
        <f t="shared" si="182"/>
        <v>0.25</v>
      </c>
      <c r="K138" s="136">
        <f>+(G138/F138)*E138</f>
        <v>0.1</v>
      </c>
      <c r="L138" s="136">
        <f t="shared" si="183"/>
        <v>0.1</v>
      </c>
      <c r="M138" s="130">
        <v>1</v>
      </c>
      <c r="N138" s="550">
        <v>1</v>
      </c>
      <c r="O138" s="550">
        <v>0</v>
      </c>
      <c r="P138" s="550">
        <v>0</v>
      </c>
      <c r="Q138" s="130"/>
      <c r="R138" s="130">
        <f t="shared" si="184"/>
        <v>1</v>
      </c>
      <c r="S138" s="130">
        <f t="shared" si="185"/>
        <v>2</v>
      </c>
      <c r="T138" s="136">
        <f>+(M138/G138)</f>
        <v>0.33333333333333331</v>
      </c>
      <c r="U138" s="136">
        <f t="shared" si="172"/>
        <v>0.33333333333333331</v>
      </c>
      <c r="V138" s="136">
        <f>+T138*E138</f>
        <v>0.13333333333333333</v>
      </c>
      <c r="W138" s="136">
        <f t="shared" si="187"/>
        <v>0.13333333333333333</v>
      </c>
      <c r="X138" s="136">
        <f>+M138/F138</f>
        <v>8.3333333333333329E-2</v>
      </c>
      <c r="Y138" s="136">
        <f t="shared" si="186"/>
        <v>0.16666666666666666</v>
      </c>
      <c r="Z138" s="136">
        <f>+X138*E138</f>
        <v>3.3333333333333333E-2</v>
      </c>
      <c r="AA138" s="136">
        <f>+Y138*E138</f>
        <v>6.6666666666666666E-2</v>
      </c>
      <c r="AB138" s="117"/>
      <c r="AC138" s="106"/>
    </row>
    <row r="139" spans="1:29" ht="67.2" customHeight="1" thickBot="1" x14ac:dyDescent="0.4">
      <c r="A139" s="233"/>
      <c r="B139" s="991" t="s">
        <v>1710</v>
      </c>
      <c r="C139" s="977"/>
      <c r="D139" s="235"/>
      <c r="E139" s="199">
        <v>0.05</v>
      </c>
      <c r="F139" s="183"/>
      <c r="G139" s="123"/>
      <c r="H139" s="123"/>
      <c r="I139" s="129">
        <f>+AVERAGE(I140:I141)</f>
        <v>0.15625</v>
      </c>
      <c r="J139" s="129">
        <f>+AVERAGE(J140:J141)</f>
        <v>0.28125</v>
      </c>
      <c r="K139" s="129">
        <f>+K140+K141</f>
        <v>0.15625</v>
      </c>
      <c r="L139" s="129">
        <f>+L140+L141</f>
        <v>0.28125</v>
      </c>
      <c r="M139" s="128"/>
      <c r="N139" s="128"/>
      <c r="O139" s="128"/>
      <c r="P139" s="128"/>
      <c r="Q139" s="128"/>
      <c r="R139" s="128"/>
      <c r="S139" s="128"/>
      <c r="T139" s="150">
        <f>+AVERAGE(T140:T141)</f>
        <v>1</v>
      </c>
      <c r="U139" s="150">
        <f>+AVERAGE(U140:U141)</f>
        <v>0.57600000000000007</v>
      </c>
      <c r="V139" s="150">
        <f>+(V140+V141)*E139</f>
        <v>0.05</v>
      </c>
      <c r="W139" s="150">
        <f>+(W140+W141)*F139</f>
        <v>0</v>
      </c>
      <c r="X139" s="129">
        <f>+AVERAGE(X140:X141)</f>
        <v>0.15625</v>
      </c>
      <c r="Y139" s="129">
        <f>+AVERAGE(Y140:Y141)</f>
        <v>0.25625000000000003</v>
      </c>
      <c r="Z139" s="189">
        <f>+(Z140+Z141)*E139</f>
        <v>7.8125E-3</v>
      </c>
      <c r="AA139" s="189">
        <f>+(AA140+AA141)</f>
        <v>0.25625000000000003</v>
      </c>
      <c r="AB139" s="117"/>
      <c r="AC139" s="106"/>
    </row>
    <row r="140" spans="1:29" ht="95.4" customHeight="1" thickBot="1" x14ac:dyDescent="0.4">
      <c r="A140" s="233"/>
      <c r="B140" s="782" t="s">
        <v>1062</v>
      </c>
      <c r="C140" s="782" t="s">
        <v>1260</v>
      </c>
      <c r="D140" s="235" t="s">
        <v>1063</v>
      </c>
      <c r="E140" s="195">
        <v>0.5</v>
      </c>
      <c r="F140" s="193">
        <v>4</v>
      </c>
      <c r="G140" s="130">
        <v>0.25</v>
      </c>
      <c r="H140" s="130">
        <f>1+0.25</f>
        <v>1.25</v>
      </c>
      <c r="I140" s="136">
        <f>+G140/F140</f>
        <v>6.25E-2</v>
      </c>
      <c r="J140" s="136">
        <f t="shared" ref="J140:J141" si="188">+H140/F140</f>
        <v>0.3125</v>
      </c>
      <c r="K140" s="136">
        <f>+(G140/F140)*E140</f>
        <v>3.125E-2</v>
      </c>
      <c r="L140" s="136">
        <f t="shared" ref="L140:L141" si="189">+(H140/F140)*E140</f>
        <v>0.15625</v>
      </c>
      <c r="M140" s="203">
        <v>0.25</v>
      </c>
      <c r="N140" s="550">
        <v>0.05</v>
      </c>
      <c r="O140" s="550">
        <v>0.03</v>
      </c>
      <c r="P140" s="550">
        <v>0.08</v>
      </c>
      <c r="Q140" s="203"/>
      <c r="R140" s="203">
        <f t="shared" ref="R140:R141" si="190">+N140+O140+P140+Q140</f>
        <v>0.16</v>
      </c>
      <c r="S140" s="203">
        <f t="shared" ref="S140:S141" si="191">+R140+M140</f>
        <v>0.41000000000000003</v>
      </c>
      <c r="T140" s="136">
        <f>+(M140/G140)</f>
        <v>1</v>
      </c>
      <c r="U140" s="136">
        <f>+R140/((H140/4))</f>
        <v>0.51200000000000001</v>
      </c>
      <c r="V140" s="136">
        <f>+T140*E140</f>
        <v>0.5</v>
      </c>
      <c r="W140" s="136">
        <f t="shared" ref="W140:W141" si="192">+U140*E140</f>
        <v>0.25600000000000001</v>
      </c>
      <c r="X140" s="136">
        <f>+M140/F140</f>
        <v>6.25E-2</v>
      </c>
      <c r="Y140" s="136">
        <f t="shared" ref="Y140:Y141" si="193">+S140/F140</f>
        <v>0.10250000000000001</v>
      </c>
      <c r="Z140" s="136">
        <f>+X140*E140</f>
        <v>3.125E-2</v>
      </c>
      <c r="AA140" s="136">
        <f>+Y140*E140</f>
        <v>5.1250000000000004E-2</v>
      </c>
      <c r="AB140" s="117"/>
      <c r="AC140" s="106"/>
    </row>
    <row r="141" spans="1:29" ht="93" customHeight="1" thickBot="1" x14ac:dyDescent="0.4">
      <c r="A141" s="233"/>
      <c r="B141" s="782" t="s">
        <v>1064</v>
      </c>
      <c r="C141" s="782" t="s">
        <v>1261</v>
      </c>
      <c r="D141" s="235" t="s">
        <v>1063</v>
      </c>
      <c r="E141" s="239">
        <v>0.5</v>
      </c>
      <c r="F141" s="193">
        <v>1</v>
      </c>
      <c r="G141" s="130">
        <v>0.25</v>
      </c>
      <c r="H141" s="203">
        <v>0.25</v>
      </c>
      <c r="I141" s="136">
        <f>+G141/F141</f>
        <v>0.25</v>
      </c>
      <c r="J141" s="136">
        <f t="shared" si="188"/>
        <v>0.25</v>
      </c>
      <c r="K141" s="136">
        <f>+(G141/F141)*E141</f>
        <v>0.125</v>
      </c>
      <c r="L141" s="136">
        <f t="shared" si="189"/>
        <v>0.125</v>
      </c>
      <c r="M141" s="203">
        <v>0.25</v>
      </c>
      <c r="N141" s="550">
        <v>0.05</v>
      </c>
      <c r="O141" s="550">
        <v>0.03</v>
      </c>
      <c r="P141" s="550">
        <v>0.08</v>
      </c>
      <c r="Q141" s="203"/>
      <c r="R141" s="203">
        <f t="shared" si="190"/>
        <v>0.16</v>
      </c>
      <c r="S141" s="203">
        <f t="shared" si="191"/>
        <v>0.41000000000000003</v>
      </c>
      <c r="T141" s="136">
        <f>+(M141/G141)</f>
        <v>1</v>
      </c>
      <c r="U141" s="136">
        <f t="shared" si="172"/>
        <v>0.64</v>
      </c>
      <c r="V141" s="136">
        <f>+T141*E141</f>
        <v>0.5</v>
      </c>
      <c r="W141" s="136">
        <f t="shared" si="192"/>
        <v>0.32</v>
      </c>
      <c r="X141" s="136">
        <f>+M141/F141</f>
        <v>0.25</v>
      </c>
      <c r="Y141" s="136">
        <f t="shared" si="193"/>
        <v>0.41000000000000003</v>
      </c>
      <c r="Z141" s="136">
        <f>+X141*E141</f>
        <v>0.125</v>
      </c>
      <c r="AA141" s="136">
        <f>+Y141*E141</f>
        <v>0.20500000000000002</v>
      </c>
      <c r="AB141" s="117"/>
      <c r="AC141" s="106"/>
    </row>
    <row r="142" spans="1:29" ht="67.2" customHeight="1" thickBot="1" x14ac:dyDescent="0.4">
      <c r="A142" s="106"/>
      <c r="B142" s="106"/>
      <c r="C142" s="106"/>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06"/>
      <c r="AC142" s="106"/>
    </row>
    <row r="143" spans="1:29" ht="67.2" customHeight="1" thickBot="1" x14ac:dyDescent="0.4">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row>
    <row r="144" spans="1:29" ht="67.2" customHeight="1" thickBot="1" x14ac:dyDescent="0.4">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row>
    <row r="145" spans="1:29" ht="67.2" customHeight="1" thickBot="1" x14ac:dyDescent="0.4">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row>
    <row r="146" spans="1:29" ht="67.2" customHeight="1" thickBot="1" x14ac:dyDescent="0.4">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row>
    <row r="147" spans="1:29" ht="67.2" customHeight="1" thickBot="1" x14ac:dyDescent="0.4">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row>
    <row r="148" spans="1:29" ht="67.2" customHeight="1" thickBot="1" x14ac:dyDescent="0.4">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row>
    <row r="149" spans="1:29" ht="67.2" customHeight="1" thickBot="1" x14ac:dyDescent="0.4">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row>
    <row r="150" spans="1:29" ht="67.2" customHeight="1" thickBot="1" x14ac:dyDescent="0.4">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row>
    <row r="151" spans="1:29" ht="67.2" customHeight="1" thickBot="1" x14ac:dyDescent="0.4">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row>
    <row r="152" spans="1:29" ht="67.2" customHeight="1" thickBot="1" x14ac:dyDescent="0.4">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row>
    <row r="153" spans="1:29" ht="67.2" customHeight="1" thickBot="1" x14ac:dyDescent="0.4">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row>
    <row r="154" spans="1:29" ht="67.2" customHeight="1" thickBot="1" x14ac:dyDescent="0.4">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row>
    <row r="155" spans="1:29" ht="67.2" customHeight="1" thickBot="1" x14ac:dyDescent="0.4">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row>
    <row r="156" spans="1:29" ht="67.2" customHeight="1" thickBot="1" x14ac:dyDescent="0.4">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row>
    <row r="157" spans="1:29" ht="67.2" customHeight="1" thickBot="1" x14ac:dyDescent="0.4">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row>
    <row r="158" spans="1:29" ht="67.2" customHeight="1" thickBot="1" x14ac:dyDescent="0.4">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row>
    <row r="159" spans="1:29" ht="67.2" customHeight="1" thickBot="1" x14ac:dyDescent="0.4">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row>
    <row r="160" spans="1:29" ht="67.2" customHeight="1" thickBot="1" x14ac:dyDescent="0.4">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row>
    <row r="161" spans="1:29" ht="67.2" customHeight="1" thickBot="1" x14ac:dyDescent="0.4">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row>
    <row r="162" spans="1:29" ht="67.2" customHeight="1" thickBot="1" x14ac:dyDescent="0.4">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row>
    <row r="163" spans="1:29" ht="67.2" customHeight="1" thickBot="1" x14ac:dyDescent="0.4">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row>
    <row r="164" spans="1:29" ht="67.2" customHeight="1" thickBot="1" x14ac:dyDescent="0.4">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row>
    <row r="165" spans="1:29" ht="67.2" customHeight="1" thickBot="1" x14ac:dyDescent="0.4">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row>
    <row r="166" spans="1:29" ht="67.2" customHeight="1" thickBot="1" x14ac:dyDescent="0.4">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row>
    <row r="167" spans="1:29" ht="67.2" customHeight="1" thickBot="1" x14ac:dyDescent="0.4">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row>
    <row r="168" spans="1:29" ht="67.2" customHeight="1" thickBot="1" x14ac:dyDescent="0.4">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row>
    <row r="169" spans="1:29" ht="67.2" customHeight="1" thickBot="1" x14ac:dyDescent="0.4">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row>
    <row r="170" spans="1:29" ht="67.2" customHeight="1" thickBot="1" x14ac:dyDescent="0.4">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row>
    <row r="171" spans="1:29" ht="67.2" customHeight="1" thickBot="1" x14ac:dyDescent="0.4">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row>
    <row r="172" spans="1:29" ht="67.2" customHeight="1" thickBot="1" x14ac:dyDescent="0.4">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row>
    <row r="173" spans="1:29" ht="67.2" customHeight="1" thickBot="1" x14ac:dyDescent="0.4">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row>
    <row r="174" spans="1:29" ht="67.2" customHeight="1" thickBot="1" x14ac:dyDescent="0.4">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row>
    <row r="175" spans="1:29" ht="67.2" customHeight="1" thickBot="1" x14ac:dyDescent="0.4">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row>
    <row r="176" spans="1:29" ht="67.2" customHeight="1" thickBot="1" x14ac:dyDescent="0.4">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row>
    <row r="177" spans="1:29" ht="67.2" customHeight="1" thickBot="1" x14ac:dyDescent="0.4">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row>
    <row r="178" spans="1:29" ht="67.2" customHeight="1" thickBot="1" x14ac:dyDescent="0.4">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row>
    <row r="179" spans="1:29" ht="67.2" customHeight="1" thickBot="1" x14ac:dyDescent="0.4">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row>
    <row r="180" spans="1:29" ht="67.2" customHeight="1" thickBot="1" x14ac:dyDescent="0.4">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row>
    <row r="181" spans="1:29" ht="67.2" customHeight="1" thickBot="1" x14ac:dyDescent="0.4">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row>
    <row r="182" spans="1:29" ht="67.2" customHeight="1" thickBot="1" x14ac:dyDescent="0.4">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row>
    <row r="183" spans="1:29" ht="67.2" customHeight="1" thickBot="1" x14ac:dyDescent="0.4">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row>
    <row r="184" spans="1:29" ht="67.2" customHeight="1" thickBot="1" x14ac:dyDescent="0.4">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row>
    <row r="185" spans="1:29" ht="67.2" customHeight="1" thickBot="1" x14ac:dyDescent="0.4">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row>
    <row r="186" spans="1:29" ht="67.2" customHeight="1" thickBot="1" x14ac:dyDescent="0.4">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row>
    <row r="187" spans="1:29" ht="67.2" customHeight="1" thickBot="1" x14ac:dyDescent="0.4">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row>
    <row r="188" spans="1:29" ht="67.2" customHeight="1" thickBot="1" x14ac:dyDescent="0.4">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row>
    <row r="189" spans="1:29" ht="67.2" customHeight="1" thickBot="1" x14ac:dyDescent="0.4">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row>
    <row r="190" spans="1:29" ht="67.2" customHeight="1" thickBot="1" x14ac:dyDescent="0.4">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row>
    <row r="191" spans="1:29" ht="67.2" customHeight="1" thickBot="1" x14ac:dyDescent="0.4">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row>
    <row r="192" spans="1:29" ht="67.2" customHeight="1" thickBot="1" x14ac:dyDescent="0.4">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row>
    <row r="193" spans="1:29" ht="67.2" customHeight="1" thickBot="1" x14ac:dyDescent="0.4">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row>
    <row r="194" spans="1:29" ht="67.2" customHeight="1" thickBot="1" x14ac:dyDescent="0.4">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row>
    <row r="195" spans="1:29" ht="67.2" customHeight="1" thickBot="1" x14ac:dyDescent="0.4">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row>
    <row r="196" spans="1:29" ht="67.2" customHeight="1" thickBot="1" x14ac:dyDescent="0.4">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row>
    <row r="197" spans="1:29" ht="67.2" customHeight="1" thickBot="1" x14ac:dyDescent="0.4">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row>
    <row r="198" spans="1:29" ht="67.2" customHeight="1" thickBot="1" x14ac:dyDescent="0.4">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row>
    <row r="199" spans="1:29" ht="67.2" customHeight="1" thickBot="1" x14ac:dyDescent="0.4">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row>
    <row r="200" spans="1:29" ht="67.2" customHeight="1" thickBot="1" x14ac:dyDescent="0.4">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row>
    <row r="201" spans="1:29" ht="67.2" customHeight="1" thickBot="1" x14ac:dyDescent="0.4">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row>
    <row r="202" spans="1:29" ht="67.2" customHeight="1" thickBot="1" x14ac:dyDescent="0.4">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row>
    <row r="203" spans="1:29" ht="67.2" customHeight="1" thickBot="1" x14ac:dyDescent="0.4">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row>
    <row r="204" spans="1:29" ht="67.2" customHeight="1" thickBot="1" x14ac:dyDescent="0.4">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row>
    <row r="205" spans="1:29" ht="67.2" customHeight="1" thickBot="1" x14ac:dyDescent="0.4">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row>
    <row r="206" spans="1:29" ht="67.2" customHeight="1" thickBot="1" x14ac:dyDescent="0.4">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row>
    <row r="207" spans="1:29" ht="67.2" customHeight="1" thickBot="1" x14ac:dyDescent="0.4">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row>
    <row r="208" spans="1:29" ht="67.2" customHeight="1" thickBot="1" x14ac:dyDescent="0.4">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row>
    <row r="209" spans="1:29" ht="67.2" customHeight="1" thickBot="1" x14ac:dyDescent="0.4">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row>
    <row r="210" spans="1:29" ht="67.2" customHeight="1" thickBot="1" x14ac:dyDescent="0.4">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row>
    <row r="211" spans="1:29" ht="67.2" customHeight="1" thickBot="1" x14ac:dyDescent="0.4">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row>
    <row r="212" spans="1:29" ht="67.2" customHeight="1" thickBot="1" x14ac:dyDescent="0.4">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row>
    <row r="213" spans="1:29" ht="67.2" customHeight="1" thickBot="1" x14ac:dyDescent="0.4">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row>
    <row r="214" spans="1:29" ht="67.2" customHeight="1" thickBot="1" x14ac:dyDescent="0.4">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row>
    <row r="215" spans="1:29" ht="67.2" customHeight="1" thickBot="1" x14ac:dyDescent="0.4">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row>
    <row r="216" spans="1:29" ht="67.2" customHeight="1" thickBot="1" x14ac:dyDescent="0.4">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row>
    <row r="217" spans="1:29" ht="67.2" customHeight="1" thickBot="1" x14ac:dyDescent="0.4">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row>
    <row r="218" spans="1:29" ht="67.2" customHeight="1" thickBot="1" x14ac:dyDescent="0.4">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row>
    <row r="219" spans="1:29" ht="67.2" customHeight="1" thickBot="1" x14ac:dyDescent="0.4">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row>
    <row r="220" spans="1:29" ht="67.2" customHeight="1" thickBot="1" x14ac:dyDescent="0.4">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row>
    <row r="221" spans="1:29" ht="67.2" customHeight="1" thickBot="1" x14ac:dyDescent="0.4">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row>
    <row r="222" spans="1:29" ht="67.2" customHeight="1" thickBot="1" x14ac:dyDescent="0.4">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row>
    <row r="223" spans="1:29" ht="67.2" customHeight="1" thickBot="1" x14ac:dyDescent="0.4">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row>
    <row r="224" spans="1:29" ht="67.2" customHeight="1" thickBot="1" x14ac:dyDescent="0.4">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row>
    <row r="225" spans="1:29" ht="67.2" customHeight="1" thickBot="1" x14ac:dyDescent="0.4">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row>
    <row r="226" spans="1:29" ht="67.2" customHeight="1" thickBot="1" x14ac:dyDescent="0.4">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row>
    <row r="227" spans="1:29" ht="67.2" customHeight="1" thickBot="1" x14ac:dyDescent="0.4">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row>
    <row r="228" spans="1:29" ht="67.2" customHeight="1" thickBot="1" x14ac:dyDescent="0.4">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row>
    <row r="229" spans="1:29" ht="67.2" customHeight="1" thickBot="1" x14ac:dyDescent="0.4">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row>
    <row r="230" spans="1:29" ht="67.2" customHeight="1" thickBot="1" x14ac:dyDescent="0.4">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row>
    <row r="231" spans="1:29" ht="67.2" customHeight="1" thickBot="1" x14ac:dyDescent="0.4">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row>
    <row r="232" spans="1:29" ht="67.2" customHeight="1" thickBot="1" x14ac:dyDescent="0.4">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row>
    <row r="233" spans="1:29" ht="67.2" customHeight="1" thickBot="1" x14ac:dyDescent="0.4">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row>
    <row r="234" spans="1:29" ht="67.2" customHeight="1" thickBot="1" x14ac:dyDescent="0.4">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row>
    <row r="235" spans="1:29" ht="67.2" customHeight="1" thickBot="1" x14ac:dyDescent="0.4">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row>
    <row r="236" spans="1:29" ht="67.2" customHeight="1" thickBot="1" x14ac:dyDescent="0.4">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row>
    <row r="237" spans="1:29" ht="67.2" customHeight="1" thickBot="1" x14ac:dyDescent="0.4">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row>
    <row r="238" spans="1:29" ht="67.2" customHeight="1" thickBot="1" x14ac:dyDescent="0.4">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row>
    <row r="239" spans="1:29" ht="67.2" customHeight="1" thickBot="1" x14ac:dyDescent="0.4">
      <c r="A239" s="10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row>
    <row r="240" spans="1:29" ht="67.2" customHeight="1" thickBot="1" x14ac:dyDescent="0.4">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row>
    <row r="241" spans="1:29" ht="67.2" customHeight="1" thickBot="1" x14ac:dyDescent="0.4">
      <c r="A241" s="10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row>
    <row r="242" spans="1:29" ht="67.2" customHeight="1" thickBot="1" x14ac:dyDescent="0.4">
      <c r="A242" s="10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row>
    <row r="243" spans="1:29" ht="67.2" customHeight="1" thickBot="1" x14ac:dyDescent="0.4">
      <c r="A243" s="10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row>
    <row r="244" spans="1:29" ht="67.2" customHeight="1" thickBot="1" x14ac:dyDescent="0.4">
      <c r="A244" s="10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row>
    <row r="245" spans="1:29" ht="67.2" customHeight="1" thickBot="1" x14ac:dyDescent="0.4">
      <c r="A245" s="10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row>
    <row r="246" spans="1:29" ht="67.2" customHeight="1" thickBot="1" x14ac:dyDescent="0.4">
      <c r="A246" s="10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row>
    <row r="247" spans="1:29" ht="67.2" customHeight="1" thickBot="1" x14ac:dyDescent="0.4">
      <c r="A247" s="10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row>
    <row r="248" spans="1:29" ht="67.2" customHeight="1" thickBot="1" x14ac:dyDescent="0.4">
      <c r="A248" s="10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row>
    <row r="249" spans="1:29" ht="67.2" customHeight="1" thickBot="1" x14ac:dyDescent="0.4">
      <c r="A249" s="10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row>
    <row r="250" spans="1:29" ht="67.2" customHeight="1" thickBot="1" x14ac:dyDescent="0.4">
      <c r="A250" s="10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row>
    <row r="251" spans="1:29" ht="67.2" customHeight="1" thickBot="1" x14ac:dyDescent="0.4">
      <c r="A251" s="10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row>
    <row r="252" spans="1:29" ht="67.2" customHeight="1" thickBot="1" x14ac:dyDescent="0.4">
      <c r="A252" s="10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row>
    <row r="253" spans="1:29" ht="67.2" customHeight="1" thickBot="1" x14ac:dyDescent="0.4">
      <c r="A253" s="10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row>
    <row r="254" spans="1:29" ht="67.2" customHeight="1" thickBot="1" x14ac:dyDescent="0.4">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row>
    <row r="255" spans="1:29" ht="67.2" customHeight="1" thickBot="1" x14ac:dyDescent="0.4">
      <c r="A255" s="10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row>
    <row r="256" spans="1:29" ht="67.2" customHeight="1" thickBot="1" x14ac:dyDescent="0.4">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row>
    <row r="257" spans="1:29" ht="67.2" customHeight="1" thickBot="1" x14ac:dyDescent="0.4">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row>
    <row r="258" spans="1:29" ht="67.2" customHeight="1" thickBot="1" x14ac:dyDescent="0.4">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row>
    <row r="259" spans="1:29" ht="67.2" customHeight="1" thickBot="1" x14ac:dyDescent="0.4">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row>
    <row r="260" spans="1:29" ht="67.2" customHeight="1" thickBot="1" x14ac:dyDescent="0.4">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row>
    <row r="261" spans="1:29" ht="67.2" customHeight="1" thickBot="1" x14ac:dyDescent="0.4">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row>
    <row r="262" spans="1:29" ht="67.2" customHeight="1" thickBot="1" x14ac:dyDescent="0.4">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row>
    <row r="263" spans="1:29" ht="67.2" customHeight="1" thickBot="1" x14ac:dyDescent="0.4">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row>
    <row r="264" spans="1:29" ht="67.2" customHeight="1" thickBot="1" x14ac:dyDescent="0.4">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row>
    <row r="265" spans="1:29" ht="67.2" customHeight="1" thickBot="1" x14ac:dyDescent="0.4">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row>
    <row r="266" spans="1:29" ht="67.2" customHeight="1" thickBot="1" x14ac:dyDescent="0.4">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row>
    <row r="267" spans="1:29" ht="67.2" customHeight="1" thickBot="1" x14ac:dyDescent="0.4">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row>
    <row r="268" spans="1:29" ht="67.2" customHeight="1" thickBot="1" x14ac:dyDescent="0.4">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row>
    <row r="269" spans="1:29" ht="67.2" customHeight="1" thickBot="1" x14ac:dyDescent="0.4">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row>
    <row r="270" spans="1:29" ht="67.2" customHeight="1" thickBot="1" x14ac:dyDescent="0.4">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row>
    <row r="271" spans="1:29" ht="67.2" customHeight="1" thickBot="1" x14ac:dyDescent="0.4">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row>
    <row r="272" spans="1:29" ht="67.2" customHeight="1" thickBot="1" x14ac:dyDescent="0.4">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row>
    <row r="273" spans="1:29" ht="67.2" customHeight="1" thickBot="1" x14ac:dyDescent="0.4">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row>
    <row r="274" spans="1:29" ht="67.2" customHeight="1" thickBot="1" x14ac:dyDescent="0.4">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row>
    <row r="275" spans="1:29" ht="67.2" customHeight="1" thickBot="1" x14ac:dyDescent="0.4">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row>
    <row r="276" spans="1:29" ht="67.2" customHeight="1" thickBot="1" x14ac:dyDescent="0.4">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row>
    <row r="277" spans="1:29" ht="67.2" customHeight="1" thickBot="1" x14ac:dyDescent="0.4">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row>
    <row r="278" spans="1:29" ht="67.2" customHeight="1" thickBot="1" x14ac:dyDescent="0.4">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row>
    <row r="279" spans="1:29" ht="67.2" customHeight="1" thickBot="1" x14ac:dyDescent="0.4">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row>
    <row r="280" spans="1:29" ht="67.2" customHeight="1" thickBot="1" x14ac:dyDescent="0.4">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row>
    <row r="281" spans="1:29" ht="67.2" customHeight="1" thickBot="1" x14ac:dyDescent="0.4">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row>
    <row r="282" spans="1:29" ht="67.2" customHeight="1" thickBot="1" x14ac:dyDescent="0.4">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row>
    <row r="283" spans="1:29" ht="67.2" customHeight="1" thickBot="1" x14ac:dyDescent="0.4">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row>
    <row r="284" spans="1:29" ht="67.2" customHeight="1" thickBot="1" x14ac:dyDescent="0.4">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row>
    <row r="285" spans="1:29" ht="67.2" customHeight="1" thickBot="1" x14ac:dyDescent="0.4">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row>
    <row r="286" spans="1:29" ht="67.2" customHeight="1" thickBot="1" x14ac:dyDescent="0.4">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row>
    <row r="287" spans="1:29" ht="67.2" customHeight="1" thickBot="1" x14ac:dyDescent="0.4">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row>
    <row r="288" spans="1:29" ht="67.2" customHeight="1" thickBot="1" x14ac:dyDescent="0.4">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row>
    <row r="289" spans="1:29" ht="67.2" customHeight="1" thickBot="1" x14ac:dyDescent="0.4">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row>
    <row r="290" spans="1:29" ht="67.2" customHeight="1" thickBot="1" x14ac:dyDescent="0.4">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row>
    <row r="291" spans="1:29" ht="67.2" customHeight="1" thickBot="1" x14ac:dyDescent="0.4">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row>
    <row r="292" spans="1:29" ht="67.2" customHeight="1" thickBot="1" x14ac:dyDescent="0.4">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row>
    <row r="293" spans="1:29" ht="67.2" customHeight="1" thickBot="1" x14ac:dyDescent="0.4">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row>
    <row r="294" spans="1:29" ht="67.2" customHeight="1" thickBot="1" x14ac:dyDescent="0.4">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row>
    <row r="295" spans="1:29" ht="67.2" customHeight="1" thickBot="1" x14ac:dyDescent="0.4">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row>
    <row r="296" spans="1:29" ht="67.2" customHeight="1" thickBot="1" x14ac:dyDescent="0.4">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row>
    <row r="297" spans="1:29" ht="67.2" customHeight="1" thickBot="1" x14ac:dyDescent="0.4">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row>
    <row r="298" spans="1:29" ht="67.2" customHeight="1" thickBot="1" x14ac:dyDescent="0.4">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row>
    <row r="299" spans="1:29" ht="67.2" customHeight="1" thickBot="1" x14ac:dyDescent="0.4">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row>
    <row r="300" spans="1:29" ht="67.2" customHeight="1" thickBot="1" x14ac:dyDescent="0.4">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row>
    <row r="301" spans="1:29" ht="67.2" customHeight="1" thickBot="1" x14ac:dyDescent="0.4">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row>
    <row r="302" spans="1:29" ht="67.2" customHeight="1" thickBot="1" x14ac:dyDescent="0.4">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row>
    <row r="303" spans="1:29" ht="67.2" customHeight="1" thickBot="1" x14ac:dyDescent="0.4">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row>
    <row r="304" spans="1:29" ht="67.2" customHeight="1" thickBot="1" x14ac:dyDescent="0.4">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row>
    <row r="305" spans="1:29" ht="67.2" customHeight="1" thickBot="1" x14ac:dyDescent="0.4">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row>
    <row r="306" spans="1:29" ht="67.2" customHeight="1" thickBot="1" x14ac:dyDescent="0.4">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row>
    <row r="307" spans="1:29" ht="67.2" customHeight="1" thickBot="1" x14ac:dyDescent="0.4">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row>
    <row r="308" spans="1:29" ht="67.2" customHeight="1" thickBot="1" x14ac:dyDescent="0.4">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row>
    <row r="309" spans="1:29" ht="67.2" customHeight="1" thickBot="1" x14ac:dyDescent="0.4">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row>
    <row r="310" spans="1:29" ht="67.2" customHeight="1" thickBot="1" x14ac:dyDescent="0.4">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row>
    <row r="311" spans="1:29" ht="67.2" customHeight="1" thickBot="1" x14ac:dyDescent="0.4">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row>
    <row r="312" spans="1:29" ht="67.2" customHeight="1" thickBot="1" x14ac:dyDescent="0.4">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row>
    <row r="313" spans="1:29" ht="67.2" customHeight="1" thickBot="1" x14ac:dyDescent="0.4">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row>
    <row r="314" spans="1:29" ht="67.2" customHeight="1" thickBot="1" x14ac:dyDescent="0.4">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row>
    <row r="315" spans="1:29" ht="67.2" customHeight="1" thickBot="1" x14ac:dyDescent="0.4">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row>
    <row r="316" spans="1:29" ht="67.2" customHeight="1" thickBot="1" x14ac:dyDescent="0.4">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row>
    <row r="317" spans="1:29" ht="67.2" customHeight="1" thickBot="1" x14ac:dyDescent="0.4">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row>
    <row r="318" spans="1:29" ht="67.2" customHeight="1" thickBot="1" x14ac:dyDescent="0.4">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row>
    <row r="319" spans="1:29" ht="67.2" customHeight="1" thickBot="1" x14ac:dyDescent="0.4">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row>
    <row r="320" spans="1:29" ht="67.2" customHeight="1" thickBot="1" x14ac:dyDescent="0.4">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row>
    <row r="321" spans="1:29" ht="67.2" customHeight="1" thickBot="1" x14ac:dyDescent="0.4">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row>
    <row r="322" spans="1:29" ht="67.2" customHeight="1" thickBot="1" x14ac:dyDescent="0.4">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row>
    <row r="323" spans="1:29" ht="67.2" customHeight="1" thickBot="1" x14ac:dyDescent="0.4">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row>
    <row r="324" spans="1:29" ht="67.2" customHeight="1" thickBot="1" x14ac:dyDescent="0.4">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row>
    <row r="325" spans="1:29" ht="67.2" customHeight="1" thickBot="1" x14ac:dyDescent="0.4">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row>
    <row r="326" spans="1:29" ht="67.2" customHeight="1" thickBot="1" x14ac:dyDescent="0.4">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row>
    <row r="327" spans="1:29" ht="67.2" customHeight="1" thickBot="1" x14ac:dyDescent="0.4">
      <c r="A327" s="10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row>
    <row r="328" spans="1:29" ht="67.2" customHeight="1" thickBot="1" x14ac:dyDescent="0.4">
      <c r="A328" s="10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row>
    <row r="329" spans="1:29" ht="67.2" customHeight="1" thickBot="1" x14ac:dyDescent="0.4">
      <c r="A329" s="10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row>
    <row r="330" spans="1:29" ht="67.2" customHeight="1" thickBot="1" x14ac:dyDescent="0.4">
      <c r="A330" s="10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row>
    <row r="331" spans="1:29" ht="67.2" customHeight="1" thickBot="1" x14ac:dyDescent="0.4">
      <c r="A331" s="10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row>
    <row r="332" spans="1:29" ht="67.2" customHeight="1" thickBot="1" x14ac:dyDescent="0.4">
      <c r="A332" s="10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row>
    <row r="333" spans="1:29" ht="67.2" customHeight="1" thickBot="1" x14ac:dyDescent="0.4">
      <c r="A333" s="10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c r="AA333" s="106"/>
      <c r="AB333" s="106"/>
      <c r="AC333" s="106"/>
    </row>
    <row r="334" spans="1:29" ht="67.2" customHeight="1" thickBot="1" x14ac:dyDescent="0.4">
      <c r="A334" s="10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c r="AA334" s="106"/>
      <c r="AB334" s="106"/>
      <c r="AC334" s="106"/>
    </row>
    <row r="335" spans="1:29" ht="67.2" customHeight="1" thickBot="1" x14ac:dyDescent="0.4">
      <c r="A335" s="10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row>
    <row r="336" spans="1:29" ht="67.2" customHeight="1" thickBot="1" x14ac:dyDescent="0.4">
      <c r="A336" s="10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row>
    <row r="337" spans="1:29" ht="67.2" customHeight="1" thickBot="1" x14ac:dyDescent="0.4">
      <c r="A337" s="10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row>
    <row r="338" spans="1:29" ht="67.2" customHeight="1" thickBot="1" x14ac:dyDescent="0.4">
      <c r="A338" s="10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row>
    <row r="339" spans="1:29" ht="67.2" customHeight="1" thickBot="1" x14ac:dyDescent="0.4">
      <c r="A339" s="10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row>
    <row r="340" spans="1:29" ht="67.2" customHeight="1" thickBot="1" x14ac:dyDescent="0.4">
      <c r="A340" s="10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row>
    <row r="341" spans="1:29" ht="67.2" customHeight="1" thickBot="1" x14ac:dyDescent="0.4">
      <c r="A341" s="10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row>
  </sheetData>
  <sheetProtection password="DEFC" sheet="1" objects="1" scenarios="1"/>
  <autoFilter ref="A2:AD141">
    <sortState ref="A3:S141">
      <sortCondition sortBy="cellColor" ref="B2" dxfId="0"/>
    </sortState>
  </autoFilter>
  <mergeCells count="38">
    <mergeCell ref="B139:C139"/>
    <mergeCell ref="B109:C109"/>
    <mergeCell ref="B110:C110"/>
    <mergeCell ref="B116:C116"/>
    <mergeCell ref="B123:C123"/>
    <mergeCell ref="B131:C131"/>
    <mergeCell ref="B134:C134"/>
    <mergeCell ref="B105:C105"/>
    <mergeCell ref="B58:C58"/>
    <mergeCell ref="B61:C61"/>
    <mergeCell ref="B66:C66"/>
    <mergeCell ref="B68:C68"/>
    <mergeCell ref="B74:C74"/>
    <mergeCell ref="B77:C77"/>
    <mergeCell ref="B78:C78"/>
    <mergeCell ref="B85:C85"/>
    <mergeCell ref="B92:C92"/>
    <mergeCell ref="B94:C94"/>
    <mergeCell ref="B99:C99"/>
    <mergeCell ref="B57:C57"/>
    <mergeCell ref="B18:C18"/>
    <mergeCell ref="B23:C23"/>
    <mergeCell ref="B26:C26"/>
    <mergeCell ref="B30:C30"/>
    <mergeCell ref="B32:C32"/>
    <mergeCell ref="B36:C36"/>
    <mergeCell ref="B40:C40"/>
    <mergeCell ref="B43:C43"/>
    <mergeCell ref="B48:C48"/>
    <mergeCell ref="B49:C49"/>
    <mergeCell ref="B55:C55"/>
    <mergeCell ref="B17:C17"/>
    <mergeCell ref="B2:C2"/>
    <mergeCell ref="B3:C3"/>
    <mergeCell ref="B4:C4"/>
    <mergeCell ref="B5:C5"/>
    <mergeCell ref="B9:C9"/>
    <mergeCell ref="B12:C12"/>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zoomScale="28" zoomScaleNormal="28" workbookViewId="0">
      <pane xSplit="3" ySplit="4" topLeftCell="D5" activePane="bottomRight" state="frozen"/>
      <selection pane="topRight" activeCell="D1" sqref="D1"/>
      <selection pane="bottomLeft" activeCell="A5" sqref="A5"/>
      <selection pane="bottomRight" activeCell="L38" sqref="L38"/>
    </sheetView>
  </sheetViews>
  <sheetFormatPr baseColWidth="10" defaultColWidth="14.44140625" defaultRowHeight="15" customHeight="1" x14ac:dyDescent="0.4"/>
  <cols>
    <col min="1" max="1" width="7.88671875" style="71" hidden="1" customWidth="1"/>
    <col min="2" max="2" width="64.5546875" style="71" customWidth="1"/>
    <col min="3" max="3" width="73.33203125" style="71" customWidth="1"/>
    <col min="4" max="4" width="57.5546875" style="71" customWidth="1"/>
    <col min="5" max="5" width="34" style="71" customWidth="1"/>
    <col min="6" max="6" width="43.109375" style="71" customWidth="1"/>
    <col min="7" max="7" width="36.6640625" style="71" customWidth="1"/>
    <col min="8" max="8" width="33.109375" style="71" customWidth="1"/>
    <col min="9" max="9" width="42.6640625" style="71" customWidth="1"/>
    <col min="10" max="10" width="40.33203125" style="71" customWidth="1"/>
    <col min="11" max="11" width="63.44140625" style="71" customWidth="1"/>
    <col min="12" max="12" width="57.5546875" style="71" customWidth="1"/>
    <col min="13" max="13" width="40.33203125" style="71" customWidth="1"/>
    <col min="14" max="14" width="49.44140625" style="71" customWidth="1"/>
    <col min="15" max="15" width="47.77734375" style="71" customWidth="1"/>
    <col min="16" max="16" width="36.109375" style="71" customWidth="1"/>
    <col min="17" max="17" width="38.44140625" style="71" customWidth="1"/>
    <col min="18" max="18" width="33.33203125" style="71" customWidth="1"/>
    <col min="19" max="19" width="31.6640625" style="71" customWidth="1"/>
    <col min="20" max="20" width="51.77734375" style="71" customWidth="1"/>
    <col min="21" max="21" width="41.6640625" style="71" customWidth="1"/>
    <col min="22" max="22" width="50.77734375" style="71" customWidth="1"/>
    <col min="23" max="23" width="50" style="71" customWidth="1"/>
    <col min="24" max="24" width="41.6640625" style="71" customWidth="1"/>
    <col min="25" max="25" width="44.109375" style="71" customWidth="1"/>
    <col min="26" max="27" width="50.109375" style="71" customWidth="1"/>
    <col min="28" max="28" width="66.6640625" style="71" customWidth="1"/>
    <col min="29" max="29" width="36.88671875" style="71" customWidth="1"/>
    <col min="30" max="35" width="10.6640625" style="71" customWidth="1"/>
    <col min="36" max="16384" width="14.44140625" style="71"/>
  </cols>
  <sheetData>
    <row r="1" spans="1:29" ht="21.6" thickBot="1" x14ac:dyDescent="0.45">
      <c r="A1" s="70"/>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70"/>
      <c r="AC1" s="70"/>
    </row>
    <row r="2" spans="1:29" ht="161.4" customHeight="1" thickBot="1" x14ac:dyDescent="0.45">
      <c r="A2" s="563"/>
      <c r="B2" s="994" t="s">
        <v>1065</v>
      </c>
      <c r="C2" s="995"/>
      <c r="D2" s="569" t="s">
        <v>1</v>
      </c>
      <c r="E2" s="570" t="s">
        <v>2</v>
      </c>
      <c r="F2" s="570" t="s">
        <v>3</v>
      </c>
      <c r="G2" s="570" t="s">
        <v>4</v>
      </c>
      <c r="H2" s="113" t="s">
        <v>1783</v>
      </c>
      <c r="I2" s="570" t="s">
        <v>5</v>
      </c>
      <c r="J2" s="114" t="s">
        <v>1784</v>
      </c>
      <c r="K2" s="572" t="s">
        <v>6</v>
      </c>
      <c r="L2" s="537" t="s">
        <v>1785</v>
      </c>
      <c r="M2" s="571" t="s">
        <v>1772</v>
      </c>
      <c r="N2" s="937" t="s">
        <v>1786</v>
      </c>
      <c r="O2" s="937" t="s">
        <v>1789</v>
      </c>
      <c r="P2" s="937" t="s">
        <v>1788</v>
      </c>
      <c r="Q2" s="937" t="s">
        <v>1863</v>
      </c>
      <c r="R2" s="937" t="s">
        <v>1790</v>
      </c>
      <c r="S2" s="937" t="s">
        <v>1791</v>
      </c>
      <c r="T2" s="478" t="s">
        <v>7</v>
      </c>
      <c r="U2" s="890" t="s">
        <v>1879</v>
      </c>
      <c r="V2" s="402" t="s">
        <v>8</v>
      </c>
      <c r="W2" s="402" t="s">
        <v>1880</v>
      </c>
      <c r="X2" s="401" t="s">
        <v>1793</v>
      </c>
      <c r="Y2" s="401" t="s">
        <v>1881</v>
      </c>
      <c r="Z2" s="607" t="s">
        <v>1774</v>
      </c>
      <c r="AA2" s="891" t="s">
        <v>1882</v>
      </c>
      <c r="AB2" s="70"/>
      <c r="AC2" s="70"/>
    </row>
    <row r="3" spans="1:29" ht="93" customHeight="1" thickBot="1" x14ac:dyDescent="0.9">
      <c r="A3" s="72"/>
      <c r="B3" s="996" t="s">
        <v>1771</v>
      </c>
      <c r="C3" s="997"/>
      <c r="D3" s="565"/>
      <c r="E3" s="566">
        <v>0.02</v>
      </c>
      <c r="F3" s="567"/>
      <c r="G3" s="565"/>
      <c r="H3" s="565"/>
      <c r="I3" s="561">
        <f>(I4+I30)/2</f>
        <v>0.25509259259259259</v>
      </c>
      <c r="J3" s="561">
        <f>(J4+J30)/2</f>
        <v>0.26321869488536154</v>
      </c>
      <c r="K3" s="562">
        <f>(K4+K30)/2</f>
        <v>6.9222222222222241E-2</v>
      </c>
      <c r="L3" s="562">
        <f>(L4+L30)/2</f>
        <v>0.24656944444444442</v>
      </c>
      <c r="M3" s="568"/>
      <c r="N3" s="568"/>
      <c r="O3" s="568"/>
      <c r="P3" s="568"/>
      <c r="Q3" s="568"/>
      <c r="R3" s="568"/>
      <c r="S3" s="568"/>
      <c r="T3" s="717">
        <f>(T4+T30)/2</f>
        <v>0.40277777777777779</v>
      </c>
      <c r="U3" s="717">
        <f>(U4+U30)/2</f>
        <v>0.58101851851851849</v>
      </c>
      <c r="V3" s="718">
        <f>+F4+F30</f>
        <v>0.13582500000000003</v>
      </c>
      <c r="W3" s="718">
        <f>+H4+H30</f>
        <v>0.42769416666666671</v>
      </c>
      <c r="X3" s="717">
        <f>(X4+X30)/2</f>
        <v>5.5588624338624326E-2</v>
      </c>
      <c r="Y3" s="717">
        <f>(Y4+Y30)/2</f>
        <v>0.22464153439153436</v>
      </c>
      <c r="Z3" s="718">
        <f>(Z4*E5+Z30*E30)</f>
        <v>2.2726250000000003E-2</v>
      </c>
      <c r="AA3" s="718">
        <f>(AA4*E4+AA30*E30)</f>
        <v>0.18269812500000002</v>
      </c>
      <c r="AB3" s="70"/>
      <c r="AC3" s="70"/>
    </row>
    <row r="4" spans="1:29" ht="106.95" customHeight="1" thickBot="1" x14ac:dyDescent="0.45">
      <c r="A4" s="72"/>
      <c r="B4" s="998" t="s">
        <v>1766</v>
      </c>
      <c r="C4" s="993"/>
      <c r="D4" s="92"/>
      <c r="E4" s="93">
        <v>0.75</v>
      </c>
      <c r="F4" s="94">
        <f>+E4*V4</f>
        <v>0.12300000000000003</v>
      </c>
      <c r="G4" s="77"/>
      <c r="H4" s="94">
        <f>+E4*W4</f>
        <v>0.30960000000000004</v>
      </c>
      <c r="I4" s="79">
        <f>+(I5+I14+I22)/3</f>
        <v>0.28333333333333333</v>
      </c>
      <c r="J4" s="79">
        <f>+(J5+J14+J22)/3</f>
        <v>0.21841269841269842</v>
      </c>
      <c r="K4" s="80">
        <f>+(K5+K14+K22)/3</f>
        <v>5.4833333333333345E-2</v>
      </c>
      <c r="L4" s="80">
        <f>+(L5+L14+L22)/3</f>
        <v>0.20013888888888887</v>
      </c>
      <c r="M4" s="77"/>
      <c r="N4" s="77"/>
      <c r="O4" s="77"/>
      <c r="P4" s="77"/>
      <c r="Q4" s="77"/>
      <c r="R4" s="77"/>
      <c r="S4" s="77"/>
      <c r="T4" s="79">
        <f>+(T5+T14+T22)/3</f>
        <v>0.58333333333333337</v>
      </c>
      <c r="U4" s="79">
        <f>+(U5+U14+U22)/3</f>
        <v>0.6480555555555555</v>
      </c>
      <c r="V4" s="80">
        <f>+V5+V14+V22</f>
        <v>0.16400000000000003</v>
      </c>
      <c r="W4" s="80">
        <f>+W5+W14+W22</f>
        <v>0.41280000000000006</v>
      </c>
      <c r="X4" s="79">
        <f>(X5+X14+X22)/3</f>
        <v>6.4880952380952372E-2</v>
      </c>
      <c r="Y4" s="79">
        <f>(Y5+Y14+Y22)/3</f>
        <v>0.24923214285714282</v>
      </c>
      <c r="Z4" s="80">
        <f>(Z5+Z14+Z22)</f>
        <v>5.0800000000000005E-2</v>
      </c>
      <c r="AA4" s="80">
        <f>(AA5*E5+AA14*E14+AA22*E22)</f>
        <v>0.18704000000000004</v>
      </c>
      <c r="AB4" s="70"/>
      <c r="AC4" s="70"/>
    </row>
    <row r="5" spans="1:29" ht="98.4" customHeight="1" thickBot="1" x14ac:dyDescent="0.45">
      <c r="A5" s="72"/>
      <c r="B5" s="992" t="s">
        <v>1711</v>
      </c>
      <c r="C5" s="993"/>
      <c r="D5" s="92"/>
      <c r="E5" s="62">
        <v>0.4</v>
      </c>
      <c r="F5" s="81"/>
      <c r="G5" s="77"/>
      <c r="H5" s="77"/>
      <c r="I5" s="82">
        <f>+AVERAGE(I6:I13)</f>
        <v>0.19999999999999998</v>
      </c>
      <c r="J5" s="82">
        <f>+AVERAGE(J6:J13)</f>
        <v>0.22666666666666666</v>
      </c>
      <c r="K5" s="82">
        <f>+K6+K7+K8+K9+K10+K11+K12+K13</f>
        <v>8.7000000000000008E-2</v>
      </c>
      <c r="L5" s="82">
        <f>+L6+L7+L8+L9+L10+L11+L12+L13</f>
        <v>0.16666666666666663</v>
      </c>
      <c r="M5" s="83"/>
      <c r="N5" s="83"/>
      <c r="O5" s="83"/>
      <c r="P5" s="83"/>
      <c r="Q5" s="83"/>
      <c r="R5" s="83"/>
      <c r="S5" s="83"/>
      <c r="T5" s="574">
        <f>+AVERAGE(T6:T13)</f>
        <v>0.75</v>
      </c>
      <c r="U5" s="574">
        <f>+AVERAGE(U6:U13)</f>
        <v>0.65249999999999997</v>
      </c>
      <c r="V5" s="574">
        <f>+(V6+V7+V8+V9+V10+V11+V12+V13)*E5</f>
        <v>0.14400000000000002</v>
      </c>
      <c r="W5" s="574">
        <f>+(W6+W7+W8+W9+W10+W11+W12+W13)*E5</f>
        <v>0.17280000000000004</v>
      </c>
      <c r="X5" s="82">
        <f>+AVERAGE(X6:X13)</f>
        <v>0.13749999999999998</v>
      </c>
      <c r="Y5" s="82">
        <f>+((Y6-X6)/8)+((Y7-X7)/8)+((Y8-X8)/8)+((Y9-X9/8))+((Y10-X10/8))+((Y11-X11)/8)+((Y12-X12)/8)+((Y13-X13)/8)+X5</f>
        <v>0.24412499999999998</v>
      </c>
      <c r="Z5" s="82">
        <f>+(Z6+Z7+Z8+Z9+Z10+Z11+Z12+Z13)*E5</f>
        <v>4.2800000000000005E-2</v>
      </c>
      <c r="AA5" s="82">
        <f>+(AA6+AA7+AA8+AA9+AA10+AA11+AA12+AA13)</f>
        <v>0.20510000000000003</v>
      </c>
      <c r="AB5" s="70"/>
      <c r="AC5" s="70"/>
    </row>
    <row r="6" spans="1:29" ht="148.94999999999999" customHeight="1" thickBot="1" x14ac:dyDescent="0.45">
      <c r="A6" s="72"/>
      <c r="B6" s="74" t="s">
        <v>1066</v>
      </c>
      <c r="C6" s="89" t="s">
        <v>1067</v>
      </c>
      <c r="D6" s="92" t="s">
        <v>1068</v>
      </c>
      <c r="E6" s="88">
        <v>0.2</v>
      </c>
      <c r="F6" s="84">
        <v>60</v>
      </c>
      <c r="G6" s="95">
        <v>0</v>
      </c>
      <c r="H6" s="95">
        <v>20</v>
      </c>
      <c r="I6" s="85"/>
      <c r="J6" s="85">
        <f>+H6/F6</f>
        <v>0.33333333333333331</v>
      </c>
      <c r="K6" s="85"/>
      <c r="L6" s="85">
        <f>+(H6/F6)*E6</f>
        <v>6.6666666666666666E-2</v>
      </c>
      <c r="M6" s="95"/>
      <c r="N6" s="575">
        <v>4</v>
      </c>
      <c r="O6" s="575">
        <v>7</v>
      </c>
      <c r="P6" s="575">
        <v>4</v>
      </c>
      <c r="Q6" s="95"/>
      <c r="R6" s="573">
        <f t="shared" ref="R6:R13" si="0">+N6+O6+P6+Q6</f>
        <v>15</v>
      </c>
      <c r="S6" s="573">
        <f t="shared" ref="S6:S13" si="1">+R6+M6</f>
        <v>15</v>
      </c>
      <c r="T6" s="86"/>
      <c r="U6" s="86">
        <f t="shared" ref="U6:U13" si="2">+R6/H6</f>
        <v>0.75</v>
      </c>
      <c r="V6" s="86"/>
      <c r="W6" s="86">
        <f>+U6*E6</f>
        <v>0.15000000000000002</v>
      </c>
      <c r="X6" s="86"/>
      <c r="Y6" s="86">
        <f t="shared" ref="Y6:Y13" si="3">+S6/F6</f>
        <v>0.25</v>
      </c>
      <c r="Z6" s="85">
        <f>+Y6*E6</f>
        <v>0.05</v>
      </c>
      <c r="AA6" s="85">
        <f>+Y6*E6</f>
        <v>0.05</v>
      </c>
      <c r="AB6" s="70"/>
      <c r="AC6" s="70"/>
    </row>
    <row r="7" spans="1:29" ht="142.19999999999999" customHeight="1" thickBot="1" x14ac:dyDescent="0.45">
      <c r="A7" s="72"/>
      <c r="B7" s="74" t="s">
        <v>1069</v>
      </c>
      <c r="C7" s="89" t="s">
        <v>1070</v>
      </c>
      <c r="D7" s="92" t="s">
        <v>1071</v>
      </c>
      <c r="E7" s="63">
        <v>0.2</v>
      </c>
      <c r="F7" s="84">
        <v>500</v>
      </c>
      <c r="G7" s="95">
        <v>50</v>
      </c>
      <c r="H7" s="95">
        <v>150</v>
      </c>
      <c r="I7" s="85">
        <f t="shared" ref="I7:I13" si="4">+G7/F7</f>
        <v>0.1</v>
      </c>
      <c r="J7" s="85">
        <f t="shared" ref="J7:J29" si="5">+H7/F7</f>
        <v>0.3</v>
      </c>
      <c r="K7" s="85">
        <f t="shared" ref="K7:K13" si="6">+(G7/F7)*E7</f>
        <v>2.0000000000000004E-2</v>
      </c>
      <c r="L7" s="85">
        <f>+(H7/F7)*E7</f>
        <v>0.06</v>
      </c>
      <c r="M7" s="95">
        <v>50</v>
      </c>
      <c r="N7" s="575">
        <v>25</v>
      </c>
      <c r="O7" s="575">
        <v>50</v>
      </c>
      <c r="P7" s="575">
        <v>119</v>
      </c>
      <c r="Q7" s="95"/>
      <c r="R7" s="573">
        <f t="shared" si="0"/>
        <v>194</v>
      </c>
      <c r="S7" s="573">
        <f t="shared" si="1"/>
        <v>244</v>
      </c>
      <c r="T7" s="86">
        <f>+(M7/G7)</f>
        <v>1</v>
      </c>
      <c r="U7" s="86">
        <v>1</v>
      </c>
      <c r="V7" s="86">
        <f t="shared" ref="V7:V13" si="7">+T7*E7</f>
        <v>0.2</v>
      </c>
      <c r="W7" s="86">
        <f>+U7*E7</f>
        <v>0.2</v>
      </c>
      <c r="X7" s="86">
        <f t="shared" ref="X7:X13" si="8">+M7/F7</f>
        <v>0.1</v>
      </c>
      <c r="Y7" s="86">
        <f t="shared" si="3"/>
        <v>0.48799999999999999</v>
      </c>
      <c r="Z7" s="85">
        <f t="shared" ref="Z7:Z13" si="9">+X7*E7</f>
        <v>2.0000000000000004E-2</v>
      </c>
      <c r="AA7" s="85">
        <f>+Y7*E7</f>
        <v>9.7600000000000006E-2</v>
      </c>
      <c r="AB7" s="70"/>
      <c r="AC7" s="70"/>
    </row>
    <row r="8" spans="1:29" ht="187.2" customHeight="1" thickBot="1" x14ac:dyDescent="0.45">
      <c r="A8" s="72"/>
      <c r="B8" s="74" t="s">
        <v>1072</v>
      </c>
      <c r="C8" s="89" t="s">
        <v>1073</v>
      </c>
      <c r="D8" s="92" t="s">
        <v>1071</v>
      </c>
      <c r="E8" s="63">
        <v>0.1</v>
      </c>
      <c r="F8" s="84">
        <v>1</v>
      </c>
      <c r="G8" s="95">
        <v>0.25</v>
      </c>
      <c r="H8" s="95">
        <v>0.25</v>
      </c>
      <c r="I8" s="85">
        <f t="shared" si="4"/>
        <v>0.25</v>
      </c>
      <c r="J8" s="85">
        <f t="shared" si="5"/>
        <v>0.25</v>
      </c>
      <c r="K8" s="85">
        <f t="shared" si="6"/>
        <v>2.5000000000000001E-2</v>
      </c>
      <c r="L8" s="85">
        <f>+(H8/F8)*E8</f>
        <v>2.5000000000000001E-2</v>
      </c>
      <c r="M8" s="95">
        <v>0.25</v>
      </c>
      <c r="N8" s="575">
        <v>0</v>
      </c>
      <c r="O8" s="575">
        <v>0.12</v>
      </c>
      <c r="P8" s="575">
        <v>7.0000000000000007E-2</v>
      </c>
      <c r="Q8" s="95"/>
      <c r="R8" s="573">
        <f t="shared" si="0"/>
        <v>0.19</v>
      </c>
      <c r="S8" s="573">
        <f t="shared" si="1"/>
        <v>0.44</v>
      </c>
      <c r="T8" s="86">
        <f t="shared" ref="T8:T13" si="10">+(M8/G8)</f>
        <v>1</v>
      </c>
      <c r="U8" s="86">
        <f t="shared" si="2"/>
        <v>0.76</v>
      </c>
      <c r="V8" s="86">
        <f t="shared" si="7"/>
        <v>0.1</v>
      </c>
      <c r="W8" s="86">
        <f t="shared" ref="W8:W29" si="11">+U8*E8</f>
        <v>7.6000000000000012E-2</v>
      </c>
      <c r="X8" s="86">
        <f t="shared" si="8"/>
        <v>0.25</v>
      </c>
      <c r="Y8" s="86">
        <f t="shared" si="3"/>
        <v>0.44</v>
      </c>
      <c r="Z8" s="85">
        <f>+X8*E8</f>
        <v>2.5000000000000001E-2</v>
      </c>
      <c r="AA8" s="85">
        <f>+Y8*E8</f>
        <v>4.4000000000000004E-2</v>
      </c>
      <c r="AB8" s="70"/>
      <c r="AC8" s="70"/>
    </row>
    <row r="9" spans="1:29" ht="174.6" customHeight="1" thickBot="1" x14ac:dyDescent="0.45">
      <c r="A9" s="72"/>
      <c r="B9" s="74" t="s">
        <v>1074</v>
      </c>
      <c r="C9" s="89" t="s">
        <v>1075</v>
      </c>
      <c r="D9" s="92" t="s">
        <v>1071</v>
      </c>
      <c r="E9" s="63">
        <v>0.1</v>
      </c>
      <c r="F9" s="84">
        <v>1</v>
      </c>
      <c r="G9" s="95">
        <v>0</v>
      </c>
      <c r="H9" s="95">
        <v>0</v>
      </c>
      <c r="I9" s="85"/>
      <c r="J9" s="85"/>
      <c r="K9" s="85"/>
      <c r="L9" s="85"/>
      <c r="M9" s="95"/>
      <c r="N9" s="575"/>
      <c r="O9" s="575"/>
      <c r="P9" s="575"/>
      <c r="Q9" s="95"/>
      <c r="R9" s="573">
        <f t="shared" si="0"/>
        <v>0</v>
      </c>
      <c r="S9" s="573">
        <f t="shared" si="1"/>
        <v>0</v>
      </c>
      <c r="T9" s="86"/>
      <c r="U9" s="86"/>
      <c r="V9" s="86"/>
      <c r="W9" s="86"/>
      <c r="X9" s="86"/>
      <c r="Y9" s="86"/>
      <c r="Z9" s="85">
        <v>0</v>
      </c>
      <c r="AA9" s="85">
        <f t="shared" ref="AA9:AA12" si="12">+Y9*E9</f>
        <v>0</v>
      </c>
      <c r="AB9" s="70"/>
      <c r="AC9" s="70"/>
    </row>
    <row r="10" spans="1:29" ht="150" customHeight="1" thickBot="1" x14ac:dyDescent="0.45">
      <c r="A10" s="72"/>
      <c r="B10" s="74" t="s">
        <v>1076</v>
      </c>
      <c r="C10" s="89" t="s">
        <v>1077</v>
      </c>
      <c r="D10" s="92" t="s">
        <v>1071</v>
      </c>
      <c r="E10" s="63">
        <v>0.1</v>
      </c>
      <c r="F10" s="84">
        <v>1</v>
      </c>
      <c r="G10" s="95">
        <v>0</v>
      </c>
      <c r="H10" s="95">
        <v>0</v>
      </c>
      <c r="I10" s="85"/>
      <c r="J10" s="85"/>
      <c r="K10" s="85"/>
      <c r="L10" s="85"/>
      <c r="M10" s="95"/>
      <c r="N10" s="575"/>
      <c r="O10" s="575"/>
      <c r="P10" s="575"/>
      <c r="Q10" s="95"/>
      <c r="R10" s="573">
        <f t="shared" si="0"/>
        <v>0</v>
      </c>
      <c r="S10" s="573">
        <f t="shared" si="1"/>
        <v>0</v>
      </c>
      <c r="T10" s="86"/>
      <c r="U10" s="86"/>
      <c r="V10" s="86"/>
      <c r="W10" s="86"/>
      <c r="X10" s="86"/>
      <c r="Y10" s="86"/>
      <c r="Z10" s="85">
        <v>0</v>
      </c>
      <c r="AA10" s="85">
        <f t="shared" si="12"/>
        <v>0</v>
      </c>
      <c r="AB10" s="70"/>
      <c r="AC10" s="70"/>
    </row>
    <row r="11" spans="1:29" ht="136.94999999999999" customHeight="1" thickBot="1" x14ac:dyDescent="0.45">
      <c r="A11" s="72"/>
      <c r="B11" s="74" t="s">
        <v>1078</v>
      </c>
      <c r="C11" s="89" t="s">
        <v>1079</v>
      </c>
      <c r="D11" s="92" t="s">
        <v>1071</v>
      </c>
      <c r="E11" s="63">
        <v>0.12</v>
      </c>
      <c r="F11" s="84">
        <v>4</v>
      </c>
      <c r="G11" s="95">
        <v>1</v>
      </c>
      <c r="H11" s="95">
        <v>0</v>
      </c>
      <c r="I11" s="85">
        <f t="shared" si="4"/>
        <v>0.25</v>
      </c>
      <c r="J11" s="85"/>
      <c r="K11" s="85">
        <f t="shared" si="6"/>
        <v>0.03</v>
      </c>
      <c r="L11" s="85"/>
      <c r="M11" s="95">
        <v>0</v>
      </c>
      <c r="N11" s="575"/>
      <c r="O11" s="575"/>
      <c r="P11" s="575"/>
      <c r="Q11" s="95"/>
      <c r="R11" s="573">
        <f t="shared" si="0"/>
        <v>0</v>
      </c>
      <c r="S11" s="573">
        <f t="shared" si="1"/>
        <v>0</v>
      </c>
      <c r="T11" s="86">
        <f t="shared" si="10"/>
        <v>0</v>
      </c>
      <c r="U11" s="86"/>
      <c r="V11" s="86">
        <f t="shared" si="7"/>
        <v>0</v>
      </c>
      <c r="W11" s="86"/>
      <c r="X11" s="86">
        <f t="shared" si="8"/>
        <v>0</v>
      </c>
      <c r="Y11" s="86">
        <f t="shared" si="3"/>
        <v>0</v>
      </c>
      <c r="Z11" s="85">
        <f t="shared" si="9"/>
        <v>0</v>
      </c>
      <c r="AA11" s="85">
        <f t="shared" si="12"/>
        <v>0</v>
      </c>
      <c r="AB11" s="70"/>
      <c r="AC11" s="70"/>
    </row>
    <row r="12" spans="1:29" ht="136.94999999999999" customHeight="1" thickBot="1" x14ac:dyDescent="0.45">
      <c r="A12" s="72"/>
      <c r="B12" s="74" t="s">
        <v>1080</v>
      </c>
      <c r="C12" s="89" t="s">
        <v>1081</v>
      </c>
      <c r="D12" s="92" t="s">
        <v>1071</v>
      </c>
      <c r="E12" s="63">
        <v>0.12</v>
      </c>
      <c r="F12" s="84">
        <v>6</v>
      </c>
      <c r="G12" s="95">
        <v>0</v>
      </c>
      <c r="H12" s="95">
        <v>0</v>
      </c>
      <c r="I12" s="85"/>
      <c r="J12" s="85">
        <f t="shared" si="5"/>
        <v>0</v>
      </c>
      <c r="K12" s="85"/>
      <c r="L12" s="85">
        <f t="shared" ref="L12:L29" si="13">+(H12/F12)*E12</f>
        <v>0</v>
      </c>
      <c r="M12" s="95"/>
      <c r="N12" s="575"/>
      <c r="O12" s="575"/>
      <c r="P12" s="575"/>
      <c r="Q12" s="95"/>
      <c r="R12" s="573">
        <f t="shared" si="0"/>
        <v>0</v>
      </c>
      <c r="S12" s="573">
        <f t="shared" si="1"/>
        <v>0</v>
      </c>
      <c r="T12" s="85"/>
      <c r="U12" s="85"/>
      <c r="V12" s="85"/>
      <c r="W12" s="85"/>
      <c r="X12" s="85"/>
      <c r="Y12" s="85"/>
      <c r="Z12" s="85"/>
      <c r="AA12" s="85">
        <f t="shared" si="12"/>
        <v>0</v>
      </c>
      <c r="AB12" s="70"/>
      <c r="AC12" s="70"/>
    </row>
    <row r="13" spans="1:29" ht="184.95" customHeight="1" thickBot="1" x14ac:dyDescent="0.45">
      <c r="A13" s="72"/>
      <c r="B13" s="75" t="s">
        <v>1082</v>
      </c>
      <c r="C13" s="90" t="s">
        <v>1083</v>
      </c>
      <c r="D13" s="92" t="s">
        <v>1071</v>
      </c>
      <c r="E13" s="63">
        <v>0.06</v>
      </c>
      <c r="F13" s="84">
        <v>33</v>
      </c>
      <c r="G13" s="95">
        <v>6.6</v>
      </c>
      <c r="H13" s="95">
        <v>8.25</v>
      </c>
      <c r="I13" s="85">
        <f t="shared" si="4"/>
        <v>0.19999999999999998</v>
      </c>
      <c r="J13" s="85">
        <f t="shared" si="5"/>
        <v>0.25</v>
      </c>
      <c r="K13" s="85">
        <f t="shared" si="6"/>
        <v>1.1999999999999999E-2</v>
      </c>
      <c r="L13" s="85">
        <f t="shared" si="13"/>
        <v>1.4999999999999999E-2</v>
      </c>
      <c r="M13" s="95">
        <v>6.6</v>
      </c>
      <c r="N13" s="575">
        <v>0</v>
      </c>
      <c r="O13" s="575">
        <f>0.1*H13</f>
        <v>0.82500000000000007</v>
      </c>
      <c r="P13" s="575"/>
      <c r="Q13" s="95"/>
      <c r="R13" s="573">
        <f t="shared" si="0"/>
        <v>0.82500000000000007</v>
      </c>
      <c r="S13" s="573">
        <f t="shared" si="1"/>
        <v>7.4249999999999998</v>
      </c>
      <c r="T13" s="85">
        <f t="shared" si="10"/>
        <v>1</v>
      </c>
      <c r="U13" s="85">
        <f t="shared" si="2"/>
        <v>0.1</v>
      </c>
      <c r="V13" s="85">
        <f t="shared" si="7"/>
        <v>0.06</v>
      </c>
      <c r="W13" s="85">
        <f t="shared" si="11"/>
        <v>6.0000000000000001E-3</v>
      </c>
      <c r="X13" s="85">
        <f t="shared" si="8"/>
        <v>0.19999999999999998</v>
      </c>
      <c r="Y13" s="85">
        <f t="shared" si="3"/>
        <v>0.22500000000000001</v>
      </c>
      <c r="Z13" s="85">
        <f t="shared" si="9"/>
        <v>1.1999999999999999E-2</v>
      </c>
      <c r="AA13" s="85">
        <f>+Y13*E13</f>
        <v>1.35E-2</v>
      </c>
      <c r="AB13" s="70"/>
      <c r="AC13" s="70"/>
    </row>
    <row r="14" spans="1:29" ht="84" customHeight="1" thickBot="1" x14ac:dyDescent="0.45">
      <c r="A14" s="72"/>
      <c r="B14" s="992" t="s">
        <v>1712</v>
      </c>
      <c r="C14" s="993"/>
      <c r="D14" s="92"/>
      <c r="E14" s="62">
        <v>0.4</v>
      </c>
      <c r="F14" s="84"/>
      <c r="G14" s="95"/>
      <c r="H14" s="95"/>
      <c r="I14" s="82">
        <f>+AVERAGE(I15:I21)</f>
        <v>0.25</v>
      </c>
      <c r="J14" s="82">
        <f>+AVERAGE(J15:J21)</f>
        <v>9.6428571428571433E-2</v>
      </c>
      <c r="K14" s="82">
        <f>+K15+K16+K17+K18+K19+K20+K21</f>
        <v>3.7500000000000006E-2</v>
      </c>
      <c r="L14" s="82">
        <f>+L15+L16+L17+L18+L19+L20+L21</f>
        <v>0.1075</v>
      </c>
      <c r="M14" s="83"/>
      <c r="N14" s="83"/>
      <c r="O14" s="83"/>
      <c r="P14" s="83"/>
      <c r="Q14" s="83"/>
      <c r="R14" s="83"/>
      <c r="S14" s="83"/>
      <c r="T14" s="574">
        <f>+AVERAGE(T15:T21)</f>
        <v>0</v>
      </c>
      <c r="U14" s="574">
        <f>+AVERAGE(U15:U21)</f>
        <v>0.66666666666666663</v>
      </c>
      <c r="V14" s="574">
        <f>+(V15+V16+V17+V18+V19+V20+V21)*E14</f>
        <v>0</v>
      </c>
      <c r="W14" s="574">
        <f>+(W15+W16+W17+W18+W19+W20+W21)*E14</f>
        <v>0.18000000000000002</v>
      </c>
      <c r="X14" s="82">
        <f>+AVERAGE(X15:X21)</f>
        <v>0</v>
      </c>
      <c r="Y14" s="82">
        <f>+AVERAGE(Y15:Y21)</f>
        <v>0.20357142857142857</v>
      </c>
      <c r="Z14" s="82">
        <f>+(Z15+Z16+Z17+Z18+Z19+Z20+Z21)*E14</f>
        <v>0</v>
      </c>
      <c r="AA14" s="82">
        <f>+(AA15+AA16+AA17+AA18+AA19+AA20+AA21)</f>
        <v>0.13250000000000001</v>
      </c>
      <c r="AB14" s="70"/>
      <c r="AC14" s="70"/>
    </row>
    <row r="15" spans="1:29" ht="116.4" customHeight="1" thickBot="1" x14ac:dyDescent="0.45">
      <c r="A15" s="72"/>
      <c r="B15" s="75" t="s">
        <v>1084</v>
      </c>
      <c r="C15" s="90" t="s">
        <v>1085</v>
      </c>
      <c r="D15" s="794" t="s">
        <v>162</v>
      </c>
      <c r="E15" s="91">
        <v>0.05</v>
      </c>
      <c r="F15" s="84">
        <v>4</v>
      </c>
      <c r="G15" s="95">
        <v>0</v>
      </c>
      <c r="H15" s="95"/>
      <c r="I15" s="85"/>
      <c r="J15" s="85">
        <f t="shared" si="5"/>
        <v>0</v>
      </c>
      <c r="K15" s="85"/>
      <c r="L15" s="85">
        <f t="shared" si="13"/>
        <v>0</v>
      </c>
      <c r="M15" s="95"/>
      <c r="N15" s="575"/>
      <c r="O15" s="95"/>
      <c r="P15" s="95"/>
      <c r="Q15" s="95"/>
      <c r="R15" s="573">
        <f t="shared" ref="R15:R21" si="14">+N15+O15+P15+Q15</f>
        <v>0</v>
      </c>
      <c r="S15" s="573">
        <v>4</v>
      </c>
      <c r="T15" s="85"/>
      <c r="U15" s="85"/>
      <c r="V15" s="85"/>
      <c r="W15" s="85">
        <f t="shared" si="11"/>
        <v>0</v>
      </c>
      <c r="X15" s="85"/>
      <c r="Y15" s="85">
        <f t="shared" ref="Y15:Y21" si="15">+S15/F15</f>
        <v>1</v>
      </c>
      <c r="Z15" s="85"/>
      <c r="AA15" s="85">
        <f>+Y15*E15</f>
        <v>0.05</v>
      </c>
      <c r="AB15" s="70"/>
      <c r="AC15" s="70"/>
    </row>
    <row r="16" spans="1:29" ht="133.19999999999999" customHeight="1" thickBot="1" x14ac:dyDescent="0.45">
      <c r="A16" s="72"/>
      <c r="B16" s="75" t="s">
        <v>1086</v>
      </c>
      <c r="C16" s="90" t="s">
        <v>1087</v>
      </c>
      <c r="D16" s="794" t="s">
        <v>162</v>
      </c>
      <c r="E16" s="91">
        <v>0.05</v>
      </c>
      <c r="F16" s="84">
        <v>1</v>
      </c>
      <c r="G16" s="95">
        <v>0</v>
      </c>
      <c r="H16" s="95"/>
      <c r="I16" s="85"/>
      <c r="J16" s="85">
        <f t="shared" si="5"/>
        <v>0</v>
      </c>
      <c r="K16" s="85"/>
      <c r="L16" s="85">
        <f t="shared" si="13"/>
        <v>0</v>
      </c>
      <c r="M16" s="95"/>
      <c r="N16" s="575"/>
      <c r="O16" s="95"/>
      <c r="P16" s="95"/>
      <c r="Q16" s="95"/>
      <c r="R16" s="573">
        <f t="shared" si="14"/>
        <v>0</v>
      </c>
      <c r="S16" s="573">
        <f t="shared" ref="S16:S21" si="16">+R16+M16</f>
        <v>0</v>
      </c>
      <c r="T16" s="85"/>
      <c r="U16" s="85"/>
      <c r="V16" s="85"/>
      <c r="W16" s="85">
        <f t="shared" si="11"/>
        <v>0</v>
      </c>
      <c r="X16" s="85"/>
      <c r="Y16" s="85">
        <f t="shared" si="15"/>
        <v>0</v>
      </c>
      <c r="Z16" s="85"/>
      <c r="AA16" s="85">
        <f t="shared" ref="AA16" si="17">+Y16*E16</f>
        <v>0</v>
      </c>
      <c r="AB16" s="70"/>
      <c r="AC16" s="70"/>
    </row>
    <row r="17" spans="1:29" ht="109.95" customHeight="1" thickBot="1" x14ac:dyDescent="0.45">
      <c r="A17" s="72"/>
      <c r="B17" s="74" t="s">
        <v>1088</v>
      </c>
      <c r="C17" s="89" t="s">
        <v>1089</v>
      </c>
      <c r="D17" s="92" t="s">
        <v>620</v>
      </c>
      <c r="E17" s="63">
        <v>0.05</v>
      </c>
      <c r="F17" s="84">
        <v>4</v>
      </c>
      <c r="G17" s="95">
        <v>1</v>
      </c>
      <c r="H17" s="95">
        <v>1</v>
      </c>
      <c r="I17" s="85">
        <f>+G17/F17</f>
        <v>0.25</v>
      </c>
      <c r="J17" s="85">
        <f t="shared" si="5"/>
        <v>0.25</v>
      </c>
      <c r="K17" s="85">
        <f>+(G17/F17)*E17</f>
        <v>1.2500000000000001E-2</v>
      </c>
      <c r="L17" s="85">
        <f t="shared" si="13"/>
        <v>1.2500000000000001E-2</v>
      </c>
      <c r="M17" s="95">
        <v>0</v>
      </c>
      <c r="N17" s="575">
        <v>0</v>
      </c>
      <c r="O17" s="575">
        <v>1</v>
      </c>
      <c r="P17" s="575">
        <v>0</v>
      </c>
      <c r="Q17" s="95"/>
      <c r="R17" s="573">
        <f t="shared" si="14"/>
        <v>1</v>
      </c>
      <c r="S17" s="573">
        <f t="shared" si="16"/>
        <v>1</v>
      </c>
      <c r="T17" s="85">
        <f>+(M17/G17)</f>
        <v>0</v>
      </c>
      <c r="U17" s="85">
        <f t="shared" ref="U17:U21" si="18">+R17/H17</f>
        <v>1</v>
      </c>
      <c r="V17" s="85">
        <f>+T17*E17</f>
        <v>0</v>
      </c>
      <c r="W17" s="85">
        <f t="shared" si="11"/>
        <v>0.05</v>
      </c>
      <c r="X17" s="85">
        <f>+M17/F17</f>
        <v>0</v>
      </c>
      <c r="Y17" s="85">
        <f t="shared" si="15"/>
        <v>0.25</v>
      </c>
      <c r="Z17" s="85">
        <f>+X17*E17</f>
        <v>0</v>
      </c>
      <c r="AA17" s="85">
        <f>+Y17*E17</f>
        <v>1.2500000000000001E-2</v>
      </c>
      <c r="AB17" s="70"/>
      <c r="AC17" s="70"/>
    </row>
    <row r="18" spans="1:29" ht="133.19999999999999" customHeight="1" thickBot="1" x14ac:dyDescent="0.45">
      <c r="A18" s="72"/>
      <c r="B18" s="74" t="s">
        <v>1090</v>
      </c>
      <c r="C18" s="89" t="s">
        <v>1091</v>
      </c>
      <c r="D18" s="92" t="s">
        <v>620</v>
      </c>
      <c r="E18" s="63">
        <v>0.1</v>
      </c>
      <c r="F18" s="84">
        <v>4</v>
      </c>
      <c r="G18" s="95">
        <v>1</v>
      </c>
      <c r="H18" s="95">
        <v>1</v>
      </c>
      <c r="I18" s="85">
        <f>+G18/F18</f>
        <v>0.25</v>
      </c>
      <c r="J18" s="85">
        <f t="shared" si="5"/>
        <v>0.25</v>
      </c>
      <c r="K18" s="85">
        <f>+(G18/F18)*E18</f>
        <v>2.5000000000000001E-2</v>
      </c>
      <c r="L18" s="85">
        <f t="shared" si="13"/>
        <v>2.5000000000000001E-2</v>
      </c>
      <c r="M18" s="95">
        <v>0</v>
      </c>
      <c r="N18" s="575">
        <v>0</v>
      </c>
      <c r="O18" s="575">
        <v>0</v>
      </c>
      <c r="P18" s="575">
        <v>0</v>
      </c>
      <c r="Q18" s="95"/>
      <c r="R18" s="573">
        <f t="shared" si="14"/>
        <v>0</v>
      </c>
      <c r="S18" s="573">
        <f t="shared" si="16"/>
        <v>0</v>
      </c>
      <c r="T18" s="85">
        <f>+(M18/G18)</f>
        <v>0</v>
      </c>
      <c r="U18" s="85">
        <f t="shared" si="18"/>
        <v>0</v>
      </c>
      <c r="V18" s="85">
        <f>+T18*E18</f>
        <v>0</v>
      </c>
      <c r="W18" s="85">
        <f t="shared" si="11"/>
        <v>0</v>
      </c>
      <c r="X18" s="85">
        <f>+M18/F18</f>
        <v>0</v>
      </c>
      <c r="Y18" s="85">
        <f t="shared" si="15"/>
        <v>0</v>
      </c>
      <c r="Z18" s="85">
        <f>+X18*E18</f>
        <v>0</v>
      </c>
      <c r="AA18" s="85">
        <f>+Y18*E18</f>
        <v>0</v>
      </c>
      <c r="AB18" s="70"/>
      <c r="AC18" s="70"/>
    </row>
    <row r="19" spans="1:29" ht="175.2" customHeight="1" thickBot="1" x14ac:dyDescent="0.45">
      <c r="A19" s="72"/>
      <c r="B19" s="74" t="s">
        <v>1092</v>
      </c>
      <c r="C19" s="89" t="s">
        <v>1093</v>
      </c>
      <c r="D19" s="92" t="s">
        <v>707</v>
      </c>
      <c r="E19" s="63">
        <v>0.05</v>
      </c>
      <c r="F19" s="84">
        <v>1</v>
      </c>
      <c r="G19" s="95">
        <v>0</v>
      </c>
      <c r="H19" s="95">
        <v>0</v>
      </c>
      <c r="I19" s="85"/>
      <c r="J19" s="85">
        <f t="shared" si="5"/>
        <v>0</v>
      </c>
      <c r="K19" s="85"/>
      <c r="L19" s="85">
        <f t="shared" si="13"/>
        <v>0</v>
      </c>
      <c r="M19" s="95"/>
      <c r="N19" s="575"/>
      <c r="O19" s="95"/>
      <c r="P19" s="95"/>
      <c r="Q19" s="95"/>
      <c r="R19" s="573">
        <f t="shared" si="14"/>
        <v>0</v>
      </c>
      <c r="S19" s="573">
        <f t="shared" si="16"/>
        <v>0</v>
      </c>
      <c r="T19" s="85"/>
      <c r="U19" s="85"/>
      <c r="V19" s="85"/>
      <c r="W19" s="85">
        <f t="shared" si="11"/>
        <v>0</v>
      </c>
      <c r="X19" s="85"/>
      <c r="Y19" s="85">
        <f t="shared" si="15"/>
        <v>0</v>
      </c>
      <c r="Z19" s="85"/>
      <c r="AA19" s="85">
        <f t="shared" ref="AA19:AA21" si="19">+Y19*E19</f>
        <v>0</v>
      </c>
      <c r="AB19" s="70"/>
      <c r="AC19" s="70"/>
    </row>
    <row r="20" spans="1:29" ht="137.4" customHeight="1" thickBot="1" x14ac:dyDescent="0.45">
      <c r="A20" s="72"/>
      <c r="B20" s="74" t="s">
        <v>1094</v>
      </c>
      <c r="C20" s="89" t="s">
        <v>1095</v>
      </c>
      <c r="D20" s="92" t="s">
        <v>707</v>
      </c>
      <c r="E20" s="63">
        <v>0.3</v>
      </c>
      <c r="F20" s="84">
        <v>396</v>
      </c>
      <c r="G20" s="95">
        <v>0</v>
      </c>
      <c r="H20" s="95">
        <v>0</v>
      </c>
      <c r="I20" s="85"/>
      <c r="J20" s="85">
        <f t="shared" si="5"/>
        <v>0</v>
      </c>
      <c r="K20" s="85"/>
      <c r="L20" s="85">
        <f t="shared" si="13"/>
        <v>0</v>
      </c>
      <c r="M20" s="95"/>
      <c r="N20" s="575"/>
      <c r="O20" s="575"/>
      <c r="P20" s="575"/>
      <c r="Q20" s="95"/>
      <c r="R20" s="573">
        <f t="shared" si="14"/>
        <v>0</v>
      </c>
      <c r="S20" s="573">
        <f t="shared" si="16"/>
        <v>0</v>
      </c>
      <c r="T20" s="85"/>
      <c r="U20" s="85"/>
      <c r="V20" s="85"/>
      <c r="W20" s="85">
        <f t="shared" si="11"/>
        <v>0</v>
      </c>
      <c r="X20" s="85"/>
      <c r="Y20" s="85">
        <f t="shared" si="15"/>
        <v>0</v>
      </c>
      <c r="Z20" s="85"/>
      <c r="AA20" s="85">
        <f t="shared" si="19"/>
        <v>0</v>
      </c>
      <c r="AB20" s="76"/>
      <c r="AC20" s="70"/>
    </row>
    <row r="21" spans="1:29" ht="118.2" customHeight="1" thickBot="1" x14ac:dyDescent="0.45">
      <c r="A21" s="72"/>
      <c r="B21" s="73" t="s">
        <v>1096</v>
      </c>
      <c r="C21" s="96" t="s">
        <v>1097</v>
      </c>
      <c r="D21" s="92" t="s">
        <v>551</v>
      </c>
      <c r="E21" s="63">
        <v>0.4</v>
      </c>
      <c r="F21" s="84">
        <f>450*4</f>
        <v>1800</v>
      </c>
      <c r="G21" s="95">
        <v>0</v>
      </c>
      <c r="H21" s="95">
        <v>315</v>
      </c>
      <c r="I21" s="85"/>
      <c r="J21" s="85">
        <f t="shared" si="5"/>
        <v>0.17499999999999999</v>
      </c>
      <c r="K21" s="85"/>
      <c r="L21" s="85">
        <f t="shared" si="13"/>
        <v>6.9999999999999993E-2</v>
      </c>
      <c r="M21" s="95"/>
      <c r="N21" s="575"/>
      <c r="O21" s="575">
        <v>275</v>
      </c>
      <c r="P21" s="575">
        <v>40</v>
      </c>
      <c r="Q21" s="95"/>
      <c r="R21" s="573">
        <f t="shared" si="14"/>
        <v>315</v>
      </c>
      <c r="S21" s="573">
        <f t="shared" si="16"/>
        <v>315</v>
      </c>
      <c r="T21" s="85"/>
      <c r="U21" s="86">
        <f t="shared" si="18"/>
        <v>1</v>
      </c>
      <c r="V21" s="85"/>
      <c r="W21" s="85">
        <f t="shared" si="11"/>
        <v>0.4</v>
      </c>
      <c r="X21" s="85"/>
      <c r="Y21" s="86">
        <f t="shared" si="15"/>
        <v>0.17499999999999999</v>
      </c>
      <c r="Z21" s="85"/>
      <c r="AA21" s="85">
        <f t="shared" si="19"/>
        <v>6.9999999999999993E-2</v>
      </c>
      <c r="AB21" s="76"/>
      <c r="AC21" s="70"/>
    </row>
    <row r="22" spans="1:29" ht="75" customHeight="1" thickBot="1" x14ac:dyDescent="0.45">
      <c r="A22" s="72"/>
      <c r="B22" s="992" t="s">
        <v>1713</v>
      </c>
      <c r="C22" s="993"/>
      <c r="D22" s="92"/>
      <c r="E22" s="62">
        <v>0.2</v>
      </c>
      <c r="F22" s="84"/>
      <c r="G22" s="95"/>
      <c r="H22" s="95"/>
      <c r="I22" s="82">
        <f>+AVERAGE(I23:I29)</f>
        <v>0.4</v>
      </c>
      <c r="J22" s="82">
        <f>+AVERAGE(J23:J29)</f>
        <v>0.33214285714285718</v>
      </c>
      <c r="K22" s="82">
        <f>+K23+K24+K25+K26+K27+K28+K29</f>
        <v>4.0000000000000008E-2</v>
      </c>
      <c r="L22" s="82">
        <f>+L23+L24+L25+L26+L27+L28+L29</f>
        <v>0.32625000000000004</v>
      </c>
      <c r="M22" s="83"/>
      <c r="N22" s="83"/>
      <c r="O22" s="83"/>
      <c r="P22" s="83"/>
      <c r="Q22" s="83"/>
      <c r="R22" s="83"/>
      <c r="S22" s="83"/>
      <c r="T22" s="574">
        <f>+AVERAGE(T23:T29)</f>
        <v>1</v>
      </c>
      <c r="U22" s="574">
        <f>+AVERAGE(U23:U29)</f>
        <v>0.625</v>
      </c>
      <c r="V22" s="574">
        <f>+(V23+V24+V25+V26+V27+V28+V29)*E22</f>
        <v>2.0000000000000004E-2</v>
      </c>
      <c r="W22" s="574">
        <f>+(W23+W24+W25+W26+W27+W28+W29)*E22</f>
        <v>6.0000000000000012E-2</v>
      </c>
      <c r="X22" s="82">
        <f>+AVERAGE(X23:X29)*(1/7)</f>
        <v>5.7142857142857141E-2</v>
      </c>
      <c r="Y22" s="82">
        <f>+X22+((Y23-X23)/7)+((Y25-X25)/7)+((Y26-X26)/7)</f>
        <v>0.3</v>
      </c>
      <c r="Z22" s="82">
        <f>+(Z23+Z24+Z25+Z26+Z27+Z28+Z29)*E22</f>
        <v>8.0000000000000019E-3</v>
      </c>
      <c r="AA22" s="82">
        <f>+(AA23+AA24+AA25+AA26+AA27+AA28+AA29)</f>
        <v>0.26</v>
      </c>
      <c r="AB22" s="70"/>
      <c r="AC22" s="70"/>
    </row>
    <row r="23" spans="1:29" ht="139.94999999999999" customHeight="1" thickBot="1" x14ac:dyDescent="0.45">
      <c r="A23" s="72"/>
      <c r="B23" s="73" t="s">
        <v>1098</v>
      </c>
      <c r="C23" s="96" t="s">
        <v>1099</v>
      </c>
      <c r="D23" s="92" t="s">
        <v>560</v>
      </c>
      <c r="E23" s="63">
        <v>0.1</v>
      </c>
      <c r="F23" s="84">
        <v>5</v>
      </c>
      <c r="G23" s="95">
        <v>2</v>
      </c>
      <c r="H23" s="95">
        <v>1</v>
      </c>
      <c r="I23" s="85">
        <f>+G23/F23</f>
        <v>0.4</v>
      </c>
      <c r="J23" s="85">
        <f t="shared" si="5"/>
        <v>0.2</v>
      </c>
      <c r="K23" s="85">
        <f>+(G23/F23)*E23</f>
        <v>4.0000000000000008E-2</v>
      </c>
      <c r="L23" s="85">
        <f t="shared" si="13"/>
        <v>2.0000000000000004E-2</v>
      </c>
      <c r="M23" s="95">
        <v>2</v>
      </c>
      <c r="N23" s="575">
        <v>0</v>
      </c>
      <c r="O23" s="95">
        <v>1</v>
      </c>
      <c r="P23" s="95">
        <v>0</v>
      </c>
      <c r="Q23" s="95"/>
      <c r="R23" s="573">
        <f t="shared" ref="R23:R29" si="20">+N23+O23+P23+Q23</f>
        <v>1</v>
      </c>
      <c r="S23" s="573">
        <f t="shared" ref="S23:S29" si="21">+R23+M23</f>
        <v>3</v>
      </c>
      <c r="T23" s="85">
        <f>+(M23/G23)</f>
        <v>1</v>
      </c>
      <c r="U23" s="85">
        <f t="shared" ref="U23:U29" si="22">+R23/H23</f>
        <v>1</v>
      </c>
      <c r="V23" s="85">
        <f>+T23*E23</f>
        <v>0.1</v>
      </c>
      <c r="W23" s="85">
        <f t="shared" si="11"/>
        <v>0.1</v>
      </c>
      <c r="X23" s="85">
        <f>+M23/F23</f>
        <v>0.4</v>
      </c>
      <c r="Y23" s="85">
        <f t="shared" ref="Y23:Y26" si="23">+S23/F23</f>
        <v>0.6</v>
      </c>
      <c r="Z23" s="85">
        <f>+X23*E23</f>
        <v>4.0000000000000008E-2</v>
      </c>
      <c r="AA23" s="85">
        <f>+Y23*E23</f>
        <v>0.06</v>
      </c>
      <c r="AB23" s="70"/>
      <c r="AC23" s="70"/>
    </row>
    <row r="24" spans="1:29" ht="139.94999999999999" customHeight="1" thickBot="1" x14ac:dyDescent="0.45">
      <c r="A24" s="72"/>
      <c r="B24" s="73" t="s">
        <v>1100</v>
      </c>
      <c r="C24" s="96" t="s">
        <v>1101</v>
      </c>
      <c r="D24" s="92" t="s">
        <v>790</v>
      </c>
      <c r="E24" s="63">
        <v>0.15</v>
      </c>
      <c r="F24" s="84">
        <v>1</v>
      </c>
      <c r="G24" s="95">
        <v>0</v>
      </c>
      <c r="H24" s="95">
        <v>0</v>
      </c>
      <c r="I24" s="85"/>
      <c r="J24" s="85">
        <f t="shared" si="5"/>
        <v>0</v>
      </c>
      <c r="K24" s="85"/>
      <c r="L24" s="85">
        <f t="shared" si="13"/>
        <v>0</v>
      </c>
      <c r="M24" s="95"/>
      <c r="N24" s="575"/>
      <c r="O24" s="95"/>
      <c r="P24" s="95"/>
      <c r="Q24" s="95"/>
      <c r="R24" s="573">
        <f t="shared" si="20"/>
        <v>0</v>
      </c>
      <c r="S24" s="573">
        <f t="shared" si="21"/>
        <v>0</v>
      </c>
      <c r="T24" s="85"/>
      <c r="U24" s="85"/>
      <c r="V24" s="85"/>
      <c r="W24" s="85"/>
      <c r="X24" s="85"/>
      <c r="Y24" s="85"/>
      <c r="Z24" s="85"/>
      <c r="AA24" s="85">
        <f t="shared" ref="AA24:AA29" si="24">+Y24*E24</f>
        <v>0</v>
      </c>
      <c r="AB24" s="70"/>
      <c r="AC24" s="70"/>
    </row>
    <row r="25" spans="1:29" ht="139.94999999999999" customHeight="1" thickBot="1" x14ac:dyDescent="0.45">
      <c r="A25" s="72"/>
      <c r="B25" s="74" t="s">
        <v>1102</v>
      </c>
      <c r="C25" s="89" t="s">
        <v>1103</v>
      </c>
      <c r="D25" s="92" t="s">
        <v>565</v>
      </c>
      <c r="E25" s="63">
        <v>0.2</v>
      </c>
      <c r="F25" s="84">
        <v>1</v>
      </c>
      <c r="G25" s="95">
        <v>0</v>
      </c>
      <c r="H25" s="95">
        <v>1</v>
      </c>
      <c r="I25" s="85"/>
      <c r="J25" s="85">
        <f t="shared" si="5"/>
        <v>1</v>
      </c>
      <c r="K25" s="85"/>
      <c r="L25" s="85">
        <f t="shared" si="13"/>
        <v>0.2</v>
      </c>
      <c r="M25" s="95"/>
      <c r="N25" s="575">
        <v>0</v>
      </c>
      <c r="O25" s="575">
        <v>0.05</v>
      </c>
      <c r="P25" s="575">
        <v>0.45</v>
      </c>
      <c r="Q25" s="95"/>
      <c r="R25" s="573">
        <f t="shared" si="20"/>
        <v>0.5</v>
      </c>
      <c r="S25" s="573">
        <f t="shared" si="21"/>
        <v>0.5</v>
      </c>
      <c r="T25" s="85"/>
      <c r="U25" s="85">
        <f t="shared" si="22"/>
        <v>0.5</v>
      </c>
      <c r="V25" s="85"/>
      <c r="W25" s="85">
        <f t="shared" si="11"/>
        <v>0.1</v>
      </c>
      <c r="X25" s="85"/>
      <c r="Y25" s="85">
        <f t="shared" si="23"/>
        <v>0.5</v>
      </c>
      <c r="Z25" s="85"/>
      <c r="AA25" s="85">
        <f t="shared" si="24"/>
        <v>0.1</v>
      </c>
      <c r="AB25" s="70"/>
      <c r="AC25" s="70"/>
    </row>
    <row r="26" spans="1:29" ht="139.94999999999999" customHeight="1" thickBot="1" x14ac:dyDescent="0.45">
      <c r="A26" s="72"/>
      <c r="B26" s="74" t="s">
        <v>1104</v>
      </c>
      <c r="C26" s="89" t="s">
        <v>1105</v>
      </c>
      <c r="D26" s="92" t="s">
        <v>907</v>
      </c>
      <c r="E26" s="63">
        <v>0.1</v>
      </c>
      <c r="F26" s="84">
        <v>1</v>
      </c>
      <c r="G26" s="95">
        <v>0</v>
      </c>
      <c r="H26" s="95">
        <v>1</v>
      </c>
      <c r="I26" s="85"/>
      <c r="J26" s="85">
        <f t="shared" si="5"/>
        <v>1</v>
      </c>
      <c r="K26" s="85"/>
      <c r="L26" s="85">
        <f t="shared" si="13"/>
        <v>0.1</v>
      </c>
      <c r="M26" s="95"/>
      <c r="N26" s="575">
        <v>0</v>
      </c>
      <c r="O26" s="575">
        <v>1</v>
      </c>
      <c r="P26" s="575"/>
      <c r="Q26" s="95"/>
      <c r="R26" s="573">
        <f t="shared" si="20"/>
        <v>1</v>
      </c>
      <c r="S26" s="573">
        <f t="shared" si="21"/>
        <v>1</v>
      </c>
      <c r="T26" s="85"/>
      <c r="U26" s="85">
        <f t="shared" si="22"/>
        <v>1</v>
      </c>
      <c r="V26" s="85"/>
      <c r="W26" s="85">
        <f t="shared" si="11"/>
        <v>0.1</v>
      </c>
      <c r="X26" s="85"/>
      <c r="Y26" s="85">
        <f t="shared" si="23"/>
        <v>1</v>
      </c>
      <c r="Z26" s="85"/>
      <c r="AA26" s="85">
        <f t="shared" si="24"/>
        <v>0.1</v>
      </c>
      <c r="AB26" s="70"/>
      <c r="AC26" s="70"/>
    </row>
    <row r="27" spans="1:29" ht="139.94999999999999" customHeight="1" thickBot="1" x14ac:dyDescent="0.45">
      <c r="A27" s="72"/>
      <c r="B27" s="74" t="s">
        <v>1106</v>
      </c>
      <c r="C27" s="89" t="s">
        <v>1107</v>
      </c>
      <c r="D27" s="97" t="s">
        <v>1108</v>
      </c>
      <c r="E27" s="63">
        <v>0.2</v>
      </c>
      <c r="F27" s="84">
        <v>1</v>
      </c>
      <c r="G27" s="95">
        <v>0</v>
      </c>
      <c r="H27" s="95">
        <v>0</v>
      </c>
      <c r="I27" s="85"/>
      <c r="J27" s="85">
        <f t="shared" si="5"/>
        <v>0</v>
      </c>
      <c r="K27" s="85"/>
      <c r="L27" s="85">
        <f t="shared" si="13"/>
        <v>0</v>
      </c>
      <c r="M27" s="95"/>
      <c r="N27" s="575"/>
      <c r="O27" s="95"/>
      <c r="P27" s="95"/>
      <c r="Q27" s="95"/>
      <c r="R27" s="573">
        <f t="shared" si="20"/>
        <v>0</v>
      </c>
      <c r="S27" s="573">
        <f t="shared" si="21"/>
        <v>0</v>
      </c>
      <c r="T27" s="85"/>
      <c r="U27" s="85"/>
      <c r="V27" s="85"/>
      <c r="W27" s="85">
        <f t="shared" si="11"/>
        <v>0</v>
      </c>
      <c r="X27" s="85"/>
      <c r="Y27" s="85"/>
      <c r="Z27" s="85"/>
      <c r="AA27" s="85">
        <f t="shared" si="24"/>
        <v>0</v>
      </c>
      <c r="AB27" s="70"/>
      <c r="AC27" s="70"/>
    </row>
    <row r="28" spans="1:29" ht="139.94999999999999" customHeight="1" thickBot="1" x14ac:dyDescent="0.45">
      <c r="A28" s="72"/>
      <c r="B28" s="73" t="s">
        <v>1109</v>
      </c>
      <c r="C28" s="96" t="s">
        <v>1110</v>
      </c>
      <c r="D28" s="98" t="s">
        <v>1111</v>
      </c>
      <c r="E28" s="63">
        <v>0.2</v>
      </c>
      <c r="F28" s="84">
        <v>1</v>
      </c>
      <c r="G28" s="95">
        <v>0</v>
      </c>
      <c r="H28" s="95">
        <v>0</v>
      </c>
      <c r="I28" s="85"/>
      <c r="J28" s="85">
        <f t="shared" si="5"/>
        <v>0</v>
      </c>
      <c r="K28" s="85"/>
      <c r="L28" s="85">
        <f t="shared" si="13"/>
        <v>0</v>
      </c>
      <c r="M28" s="95"/>
      <c r="N28" s="575"/>
      <c r="O28" s="95"/>
      <c r="P28" s="95"/>
      <c r="Q28" s="95"/>
      <c r="R28" s="573">
        <f t="shared" si="20"/>
        <v>0</v>
      </c>
      <c r="S28" s="573">
        <f t="shared" si="21"/>
        <v>0</v>
      </c>
      <c r="T28" s="85"/>
      <c r="U28" s="85"/>
      <c r="V28" s="85"/>
      <c r="W28" s="85">
        <f t="shared" si="11"/>
        <v>0</v>
      </c>
      <c r="X28" s="85"/>
      <c r="Y28" s="85"/>
      <c r="Z28" s="85"/>
      <c r="AA28" s="85">
        <f t="shared" si="24"/>
        <v>0</v>
      </c>
      <c r="AB28" s="70"/>
      <c r="AC28" s="70"/>
    </row>
    <row r="29" spans="1:29" ht="139.94999999999999" customHeight="1" thickBot="1" x14ac:dyDescent="0.45">
      <c r="A29" s="72"/>
      <c r="B29" s="73" t="s">
        <v>1112</v>
      </c>
      <c r="C29" s="96" t="s">
        <v>1113</v>
      </c>
      <c r="D29" s="99" t="s">
        <v>560</v>
      </c>
      <c r="E29" s="63">
        <v>0.05</v>
      </c>
      <c r="F29" s="84">
        <v>16</v>
      </c>
      <c r="G29" s="95">
        <v>0</v>
      </c>
      <c r="H29" s="95">
        <v>2</v>
      </c>
      <c r="I29" s="85"/>
      <c r="J29" s="85">
        <f t="shared" si="5"/>
        <v>0.125</v>
      </c>
      <c r="K29" s="85"/>
      <c r="L29" s="85">
        <f t="shared" si="13"/>
        <v>6.2500000000000003E-3</v>
      </c>
      <c r="M29" s="95"/>
      <c r="N29" s="575">
        <v>0</v>
      </c>
      <c r="O29" s="575">
        <v>0</v>
      </c>
      <c r="P29" s="575">
        <v>0</v>
      </c>
      <c r="Q29" s="95"/>
      <c r="R29" s="573">
        <f t="shared" si="20"/>
        <v>0</v>
      </c>
      <c r="S29" s="573">
        <f t="shared" si="21"/>
        <v>0</v>
      </c>
      <c r="T29" s="85"/>
      <c r="U29" s="85">
        <f t="shared" si="22"/>
        <v>0</v>
      </c>
      <c r="V29" s="85"/>
      <c r="W29" s="85">
        <f t="shared" si="11"/>
        <v>0</v>
      </c>
      <c r="X29" s="85"/>
      <c r="Y29" s="85"/>
      <c r="Z29" s="85"/>
      <c r="AA29" s="85">
        <f t="shared" si="24"/>
        <v>0</v>
      </c>
      <c r="AB29" s="70"/>
      <c r="AC29" s="70"/>
    </row>
    <row r="30" spans="1:29" ht="71.25" customHeight="1" thickBot="1" x14ac:dyDescent="0.45">
      <c r="A30" s="72"/>
      <c r="B30" s="998" t="s">
        <v>1767</v>
      </c>
      <c r="C30" s="993"/>
      <c r="D30" s="92"/>
      <c r="E30" s="78">
        <v>0.25</v>
      </c>
      <c r="F30" s="94">
        <f>+E30*V30</f>
        <v>1.2824999999999998E-2</v>
      </c>
      <c r="G30" s="77"/>
      <c r="H30" s="94">
        <f>+E30*W30</f>
        <v>0.11809416666666667</v>
      </c>
      <c r="I30" s="79">
        <f>+(I31+I40+I47)/3</f>
        <v>0.22685185185185186</v>
      </c>
      <c r="J30" s="79">
        <f>+(J31+J40+J47)/3</f>
        <v>0.30802469135802468</v>
      </c>
      <c r="K30" s="80">
        <f>+(K31+K40+K47)/3</f>
        <v>8.3611111111111122E-2</v>
      </c>
      <c r="L30" s="80">
        <f>+(L31+L40+L47)/3</f>
        <v>0.29299999999999998</v>
      </c>
      <c r="M30" s="77"/>
      <c r="N30" s="77"/>
      <c r="O30" s="77"/>
      <c r="P30" s="77"/>
      <c r="Q30" s="77"/>
      <c r="R30" s="77"/>
      <c r="S30" s="77"/>
      <c r="T30" s="79">
        <f>+(T31+T40+T47)/3</f>
        <v>0.22222222222222221</v>
      </c>
      <c r="U30" s="79">
        <f>+(U31+U40+U47)/3</f>
        <v>0.51398148148148148</v>
      </c>
      <c r="V30" s="80">
        <f>+V31+V40+V47</f>
        <v>5.1299999999999991E-2</v>
      </c>
      <c r="W30" s="80">
        <f>+W31+W40+W47</f>
        <v>0.47237666666666667</v>
      </c>
      <c r="X30" s="79">
        <f>(X31+X40+X47)/3</f>
        <v>4.6296296296296287E-2</v>
      </c>
      <c r="Y30" s="79">
        <f>(Y31+Y40+Y47)/3</f>
        <v>0.20005092592592591</v>
      </c>
      <c r="Z30" s="80">
        <f>(Z31+Z40+Z47)</f>
        <v>9.6249999999999999E-3</v>
      </c>
      <c r="AA30" s="80">
        <f>(AA31*E31+AA40*E40+AA47*E47)</f>
        <v>0.16967249999999998</v>
      </c>
      <c r="AB30" s="70"/>
      <c r="AC30" s="70"/>
    </row>
    <row r="31" spans="1:29" ht="63" customHeight="1" thickBot="1" x14ac:dyDescent="0.45">
      <c r="A31" s="72"/>
      <c r="B31" s="992" t="s">
        <v>1768</v>
      </c>
      <c r="C31" s="993"/>
      <c r="D31" s="92"/>
      <c r="E31" s="62">
        <v>0.3</v>
      </c>
      <c r="F31" s="84"/>
      <c r="G31" s="77"/>
      <c r="H31" s="77"/>
      <c r="I31" s="82">
        <f>+AVERAGE(I32:I39)</f>
        <v>0.30555555555555552</v>
      </c>
      <c r="J31" s="82">
        <f>+AVERAGE(J32:J39)</f>
        <v>0.33462962962962967</v>
      </c>
      <c r="K31" s="82">
        <f>+K32+K33+K34+K35+K36+K37+K38+K39</f>
        <v>0.18208333333333335</v>
      </c>
      <c r="L31" s="82">
        <f>+L32+L33+L34+L35+L36+L37+L38+L39</f>
        <v>0.29941666666666666</v>
      </c>
      <c r="M31" s="83"/>
      <c r="N31" s="83"/>
      <c r="O31" s="83"/>
      <c r="P31" s="83"/>
      <c r="Q31" s="83"/>
      <c r="R31" s="83"/>
      <c r="S31" s="83"/>
      <c r="T31" s="574">
        <f>+AVERAGE(T32:T39)</f>
        <v>0.66666666666666663</v>
      </c>
      <c r="U31" s="574">
        <f>+AVERAGE(U32:U39)</f>
        <v>0.42777777777777781</v>
      </c>
      <c r="V31" s="574">
        <f>+(V32+V33+V34+V35+V36+V37+V38+V39)*E31</f>
        <v>5.1299999999999991E-2</v>
      </c>
      <c r="W31" s="574">
        <f>+(W32+W33+W34+W35+W36+W37+W38+W39)*E31</f>
        <v>9.0709999999999999E-2</v>
      </c>
      <c r="X31" s="82">
        <f>+AVERAGE(X32:X39)</f>
        <v>0.13888888888888887</v>
      </c>
      <c r="Y31" s="82">
        <f>+((Y32-X32)/8)+((Y33-X33)/8)+((Y34-X34)/8)+((Y35-X35)/8)+((Y36-X36)/8)+((Y37-X37)/8)+((Y38-X38)/8)+((Y39-X39)/8)+X31</f>
        <v>0.22215277777777775</v>
      </c>
      <c r="Z31" s="82">
        <f>+(Z32+Z33+Z34+Z35+Z36+Z37+Z38+Z39)*E31</f>
        <v>9.6249999999999999E-3</v>
      </c>
      <c r="AA31" s="82">
        <f>+(AA32+AA33+AA34+AA35+AA36+AA37+AA38+AA39)</f>
        <v>0.10950833333333335</v>
      </c>
      <c r="AB31" s="70"/>
      <c r="AC31" s="70"/>
    </row>
    <row r="32" spans="1:29" ht="133.94999999999999" customHeight="1" thickBot="1" x14ac:dyDescent="0.45">
      <c r="A32" s="72"/>
      <c r="B32" s="74" t="s">
        <v>1114</v>
      </c>
      <c r="C32" s="89" t="s">
        <v>1115</v>
      </c>
      <c r="D32" s="100" t="s">
        <v>12</v>
      </c>
      <c r="E32" s="63">
        <v>0.15</v>
      </c>
      <c r="F32" s="84">
        <v>5</v>
      </c>
      <c r="G32" s="95">
        <v>0</v>
      </c>
      <c r="H32" s="95">
        <v>0</v>
      </c>
      <c r="I32" s="85"/>
      <c r="J32" s="85"/>
      <c r="K32" s="85"/>
      <c r="L32" s="85"/>
      <c r="M32" s="95"/>
      <c r="N32" s="575"/>
      <c r="O32" s="575"/>
      <c r="P32" s="575"/>
      <c r="Q32" s="95"/>
      <c r="R32" s="573">
        <f t="shared" ref="R32:R39" si="25">+N32+O32+P32+Q32</f>
        <v>0</v>
      </c>
      <c r="S32" s="573">
        <f t="shared" ref="S32:S39" si="26">+R32+M32</f>
        <v>0</v>
      </c>
      <c r="T32" s="86"/>
      <c r="U32" s="86"/>
      <c r="V32" s="86"/>
      <c r="W32" s="86"/>
      <c r="X32" s="86"/>
      <c r="Y32" s="86"/>
      <c r="Z32" s="86">
        <v>0</v>
      </c>
      <c r="AA32" s="86">
        <f>+Y32*E32</f>
        <v>0</v>
      </c>
      <c r="AB32" s="70"/>
      <c r="AC32" s="70"/>
    </row>
    <row r="33" spans="1:29" ht="72" customHeight="1" thickBot="1" x14ac:dyDescent="0.45">
      <c r="A33" s="72"/>
      <c r="B33" s="74" t="s">
        <v>1116</v>
      </c>
      <c r="C33" s="89" t="s">
        <v>1117</v>
      </c>
      <c r="D33" s="100" t="s">
        <v>12</v>
      </c>
      <c r="E33" s="63">
        <v>0.3</v>
      </c>
      <c r="F33" s="84">
        <v>1</v>
      </c>
      <c r="G33" s="95">
        <v>0.5</v>
      </c>
      <c r="H33" s="95">
        <v>0.5</v>
      </c>
      <c r="I33" s="85">
        <f t="shared" ref="I33:I39" si="27">+G33/F33</f>
        <v>0.5</v>
      </c>
      <c r="J33" s="85">
        <f t="shared" ref="J33:J39" si="28">+H33/F33</f>
        <v>0.5</v>
      </c>
      <c r="K33" s="85">
        <f t="shared" ref="K33:K39" si="29">+(G33/F33)*E33</f>
        <v>0.15</v>
      </c>
      <c r="L33" s="85">
        <f t="shared" ref="L33:L39" si="30">+(H33/F33)*E33</f>
        <v>0.15</v>
      </c>
      <c r="M33" s="95">
        <v>0</v>
      </c>
      <c r="N33" s="575">
        <v>0</v>
      </c>
      <c r="O33" s="575">
        <v>0</v>
      </c>
      <c r="P33" s="575">
        <v>0</v>
      </c>
      <c r="Q33" s="95"/>
      <c r="R33" s="573">
        <f t="shared" si="25"/>
        <v>0</v>
      </c>
      <c r="S33" s="573">
        <f t="shared" si="26"/>
        <v>0</v>
      </c>
      <c r="T33" s="86">
        <f t="shared" ref="T33:T39" si="31">+(M33/G33)</f>
        <v>0</v>
      </c>
      <c r="U33" s="86">
        <f t="shared" ref="U33:U39" si="32">+R33/H33</f>
        <v>0</v>
      </c>
      <c r="V33" s="86">
        <f t="shared" ref="V33:V39" si="33">+T33*E33</f>
        <v>0</v>
      </c>
      <c r="W33" s="86">
        <f t="shared" ref="W33:W39" si="34">+U33*E33</f>
        <v>0</v>
      </c>
      <c r="X33" s="86">
        <f t="shared" ref="X33:X39" si="35">+M33/F33</f>
        <v>0</v>
      </c>
      <c r="Y33" s="86">
        <f t="shared" ref="Y33:Y39" si="36">+S33/F33</f>
        <v>0</v>
      </c>
      <c r="Z33" s="86">
        <f t="shared" ref="Z33:Z39" si="37">+X33*E33</f>
        <v>0</v>
      </c>
      <c r="AA33" s="86">
        <f t="shared" ref="AA33:AA39" si="38">+Y33*E33</f>
        <v>0</v>
      </c>
      <c r="AB33" s="70"/>
      <c r="AC33" s="70"/>
    </row>
    <row r="34" spans="1:29" ht="148.94999999999999" customHeight="1" thickBot="1" x14ac:dyDescent="0.45">
      <c r="A34" s="72"/>
      <c r="B34" s="74" t="s">
        <v>1118</v>
      </c>
      <c r="C34" s="89" t="s">
        <v>1119</v>
      </c>
      <c r="D34" s="92" t="s">
        <v>551</v>
      </c>
      <c r="E34" s="63">
        <v>0.15</v>
      </c>
      <c r="F34" s="84">
        <v>450</v>
      </c>
      <c r="G34" s="95">
        <v>0</v>
      </c>
      <c r="H34" s="95">
        <v>86</v>
      </c>
      <c r="I34" s="85"/>
      <c r="J34" s="85">
        <f t="shared" si="28"/>
        <v>0.19111111111111112</v>
      </c>
      <c r="K34" s="85"/>
      <c r="L34" s="85">
        <f t="shared" si="30"/>
        <v>2.8666666666666667E-2</v>
      </c>
      <c r="M34" s="95"/>
      <c r="N34" s="575">
        <v>0</v>
      </c>
      <c r="O34" s="575">
        <v>0</v>
      </c>
      <c r="P34" s="575">
        <v>86</v>
      </c>
      <c r="Q34" s="95"/>
      <c r="R34" s="573">
        <f t="shared" si="25"/>
        <v>86</v>
      </c>
      <c r="S34" s="573">
        <f t="shared" si="26"/>
        <v>86</v>
      </c>
      <c r="T34" s="86"/>
      <c r="U34" s="86">
        <f t="shared" si="32"/>
        <v>1</v>
      </c>
      <c r="V34" s="86"/>
      <c r="W34" s="86">
        <f t="shared" si="34"/>
        <v>0.15</v>
      </c>
      <c r="X34" s="86"/>
      <c r="Y34" s="86">
        <f t="shared" si="36"/>
        <v>0.19111111111111112</v>
      </c>
      <c r="Z34" s="86"/>
      <c r="AA34" s="86">
        <f t="shared" si="38"/>
        <v>2.8666666666666667E-2</v>
      </c>
      <c r="AB34" s="70"/>
      <c r="AC34" s="70"/>
    </row>
    <row r="35" spans="1:29" ht="81" customHeight="1" thickBot="1" x14ac:dyDescent="0.45">
      <c r="A35" s="72"/>
      <c r="B35" s="73" t="s">
        <v>1120</v>
      </c>
      <c r="C35" s="96" t="s">
        <v>1121</v>
      </c>
      <c r="D35" s="100" t="s">
        <v>12</v>
      </c>
      <c r="E35" s="63">
        <v>0.128</v>
      </c>
      <c r="F35" s="84">
        <v>6</v>
      </c>
      <c r="G35" s="95">
        <v>1</v>
      </c>
      <c r="H35" s="95">
        <v>2</v>
      </c>
      <c r="I35" s="85">
        <f t="shared" si="27"/>
        <v>0.16666666666666666</v>
      </c>
      <c r="J35" s="85">
        <f t="shared" si="28"/>
        <v>0.33333333333333331</v>
      </c>
      <c r="K35" s="85">
        <f t="shared" si="29"/>
        <v>2.1333333333333333E-2</v>
      </c>
      <c r="L35" s="85">
        <f t="shared" si="30"/>
        <v>4.2666666666666665E-2</v>
      </c>
      <c r="M35" s="95">
        <v>1</v>
      </c>
      <c r="N35" s="575">
        <v>0</v>
      </c>
      <c r="O35" s="575">
        <v>0</v>
      </c>
      <c r="P35" s="575">
        <v>2</v>
      </c>
      <c r="Q35" s="95"/>
      <c r="R35" s="573">
        <f t="shared" si="25"/>
        <v>2</v>
      </c>
      <c r="S35" s="573">
        <f t="shared" si="26"/>
        <v>3</v>
      </c>
      <c r="T35" s="86">
        <f t="shared" si="31"/>
        <v>1</v>
      </c>
      <c r="U35" s="86">
        <f t="shared" si="32"/>
        <v>1</v>
      </c>
      <c r="V35" s="86">
        <f t="shared" si="33"/>
        <v>0.128</v>
      </c>
      <c r="W35" s="86">
        <f t="shared" si="34"/>
        <v>0.128</v>
      </c>
      <c r="X35" s="86">
        <f t="shared" si="35"/>
        <v>0.16666666666666666</v>
      </c>
      <c r="Y35" s="86">
        <f t="shared" si="36"/>
        <v>0.5</v>
      </c>
      <c r="Z35" s="86">
        <f t="shared" si="37"/>
        <v>2.1333333333333333E-2</v>
      </c>
      <c r="AA35" s="86">
        <f t="shared" si="38"/>
        <v>6.4000000000000001E-2</v>
      </c>
      <c r="AB35" s="70"/>
      <c r="AC35" s="70"/>
    </row>
    <row r="36" spans="1:29" ht="107.4" customHeight="1" thickBot="1" x14ac:dyDescent="0.45">
      <c r="A36" s="72"/>
      <c r="B36" s="74" t="s">
        <v>1122</v>
      </c>
      <c r="C36" s="89" t="s">
        <v>1123</v>
      </c>
      <c r="D36" s="100" t="s">
        <v>12</v>
      </c>
      <c r="E36" s="63">
        <v>8.500000000000002E-2</v>
      </c>
      <c r="F36" s="84">
        <v>5</v>
      </c>
      <c r="G36" s="95">
        <v>0</v>
      </c>
      <c r="H36" s="95">
        <v>2</v>
      </c>
      <c r="I36" s="85"/>
      <c r="J36" s="85">
        <f t="shared" si="28"/>
        <v>0.4</v>
      </c>
      <c r="K36" s="85"/>
      <c r="L36" s="85">
        <f t="shared" si="30"/>
        <v>3.4000000000000009E-2</v>
      </c>
      <c r="M36" s="95"/>
      <c r="N36" s="575">
        <v>0</v>
      </c>
      <c r="O36" s="575">
        <v>0</v>
      </c>
      <c r="P36" s="575">
        <v>0</v>
      </c>
      <c r="Q36" s="95"/>
      <c r="R36" s="573">
        <f t="shared" si="25"/>
        <v>0</v>
      </c>
      <c r="S36" s="573">
        <f t="shared" si="26"/>
        <v>0</v>
      </c>
      <c r="T36" s="86"/>
      <c r="U36" s="86">
        <f t="shared" si="32"/>
        <v>0</v>
      </c>
      <c r="V36" s="86"/>
      <c r="W36" s="86">
        <f t="shared" si="34"/>
        <v>0</v>
      </c>
      <c r="X36" s="86"/>
      <c r="Y36" s="86">
        <f t="shared" si="36"/>
        <v>0</v>
      </c>
      <c r="Z36" s="86">
        <f>+X36*E36</f>
        <v>0</v>
      </c>
      <c r="AA36" s="86">
        <f t="shared" si="38"/>
        <v>0</v>
      </c>
      <c r="AB36" s="70"/>
      <c r="AC36" s="70"/>
    </row>
    <row r="37" spans="1:29" ht="123.6" customHeight="1" thickBot="1" x14ac:dyDescent="0.45">
      <c r="A37" s="72"/>
      <c r="B37" s="74" t="s">
        <v>1124</v>
      </c>
      <c r="C37" s="89" t="s">
        <v>1125</v>
      </c>
      <c r="D37" s="100" t="s">
        <v>12</v>
      </c>
      <c r="E37" s="63">
        <v>0.1</v>
      </c>
      <c r="F37" s="84">
        <v>6</v>
      </c>
      <c r="G37" s="95">
        <v>0</v>
      </c>
      <c r="H37" s="95">
        <v>2</v>
      </c>
      <c r="I37" s="85"/>
      <c r="J37" s="85">
        <f t="shared" si="28"/>
        <v>0.33333333333333331</v>
      </c>
      <c r="K37" s="85"/>
      <c r="L37" s="85">
        <f t="shared" si="30"/>
        <v>3.3333333333333333E-2</v>
      </c>
      <c r="M37" s="95"/>
      <c r="N37" s="575">
        <v>0</v>
      </c>
      <c r="O37" s="575">
        <v>0</v>
      </c>
      <c r="P37" s="575">
        <v>0</v>
      </c>
      <c r="Q37" s="95"/>
      <c r="R37" s="573">
        <f t="shared" si="25"/>
        <v>0</v>
      </c>
      <c r="S37" s="573">
        <f t="shared" si="26"/>
        <v>0</v>
      </c>
      <c r="T37" s="86"/>
      <c r="U37" s="86">
        <f t="shared" si="32"/>
        <v>0</v>
      </c>
      <c r="V37" s="86"/>
      <c r="W37" s="86">
        <f t="shared" si="34"/>
        <v>0</v>
      </c>
      <c r="X37" s="86"/>
      <c r="Y37" s="86">
        <f t="shared" si="36"/>
        <v>0</v>
      </c>
      <c r="Z37" s="86">
        <f t="shared" si="37"/>
        <v>0</v>
      </c>
      <c r="AA37" s="86">
        <f>+Y37*E37</f>
        <v>0</v>
      </c>
      <c r="AB37" s="70"/>
      <c r="AC37" s="70"/>
    </row>
    <row r="38" spans="1:29" ht="118.95" customHeight="1" thickBot="1" x14ac:dyDescent="0.45">
      <c r="A38" s="72"/>
      <c r="B38" s="74" t="s">
        <v>1126</v>
      </c>
      <c r="C38" s="89" t="s">
        <v>1127</v>
      </c>
      <c r="D38" s="100" t="s">
        <v>12</v>
      </c>
      <c r="E38" s="63">
        <v>4.250000000000001E-2</v>
      </c>
      <c r="F38" s="84">
        <v>1</v>
      </c>
      <c r="G38" s="95">
        <v>0</v>
      </c>
      <c r="H38" s="95">
        <v>0</v>
      </c>
      <c r="I38" s="85"/>
      <c r="J38" s="85"/>
      <c r="K38" s="85"/>
      <c r="L38" s="85"/>
      <c r="M38" s="95"/>
      <c r="N38" s="575"/>
      <c r="O38" s="575"/>
      <c r="P38" s="575"/>
      <c r="Q38" s="95"/>
      <c r="R38" s="573">
        <f t="shared" si="25"/>
        <v>0</v>
      </c>
      <c r="S38" s="573">
        <f t="shared" si="26"/>
        <v>0</v>
      </c>
      <c r="T38" s="86"/>
      <c r="U38" s="86"/>
      <c r="V38" s="86"/>
      <c r="W38" s="86"/>
      <c r="X38" s="86"/>
      <c r="Y38" s="86"/>
      <c r="Z38" s="86">
        <v>0</v>
      </c>
      <c r="AA38" s="86">
        <f t="shared" si="38"/>
        <v>0</v>
      </c>
      <c r="AB38" s="70"/>
      <c r="AC38" s="70"/>
    </row>
    <row r="39" spans="1:29" ht="120.6" customHeight="1" thickBot="1" x14ac:dyDescent="0.45">
      <c r="A39" s="72"/>
      <c r="B39" s="74" t="s">
        <v>1128</v>
      </c>
      <c r="C39" s="89" t="s">
        <v>1129</v>
      </c>
      <c r="D39" s="100" t="s">
        <v>12</v>
      </c>
      <c r="E39" s="63">
        <v>4.2999999999999997E-2</v>
      </c>
      <c r="F39" s="84">
        <v>6</v>
      </c>
      <c r="G39" s="95">
        <v>1.5</v>
      </c>
      <c r="H39" s="95">
        <f>0.25*6</f>
        <v>1.5</v>
      </c>
      <c r="I39" s="85">
        <f t="shared" si="27"/>
        <v>0.25</v>
      </c>
      <c r="J39" s="85">
        <f t="shared" si="28"/>
        <v>0.25</v>
      </c>
      <c r="K39" s="85">
        <f t="shared" si="29"/>
        <v>1.0749999999999999E-2</v>
      </c>
      <c r="L39" s="85">
        <f t="shared" si="30"/>
        <v>1.0749999999999999E-2</v>
      </c>
      <c r="M39" s="95">
        <v>1.5</v>
      </c>
      <c r="N39" s="575">
        <v>0</v>
      </c>
      <c r="O39" s="95">
        <f>0.4*H39</f>
        <v>0.60000000000000009</v>
      </c>
      <c r="P39" s="95">
        <v>0.25</v>
      </c>
      <c r="Q39" s="95"/>
      <c r="R39" s="573">
        <f t="shared" si="25"/>
        <v>0.85000000000000009</v>
      </c>
      <c r="S39" s="573">
        <f t="shared" si="26"/>
        <v>2.35</v>
      </c>
      <c r="T39" s="86">
        <f t="shared" si="31"/>
        <v>1</v>
      </c>
      <c r="U39" s="86">
        <f t="shared" si="32"/>
        <v>0.56666666666666676</v>
      </c>
      <c r="V39" s="86">
        <f t="shared" si="33"/>
        <v>4.2999999999999997E-2</v>
      </c>
      <c r="W39" s="86">
        <f t="shared" si="34"/>
        <v>2.4366666666666668E-2</v>
      </c>
      <c r="X39" s="86">
        <f t="shared" si="35"/>
        <v>0.25</v>
      </c>
      <c r="Y39" s="86">
        <f t="shared" si="36"/>
        <v>0.39166666666666666</v>
      </c>
      <c r="Z39" s="86">
        <f t="shared" si="37"/>
        <v>1.0749999999999999E-2</v>
      </c>
      <c r="AA39" s="86">
        <f t="shared" si="38"/>
        <v>1.6841666666666665E-2</v>
      </c>
      <c r="AB39" s="70"/>
      <c r="AC39" s="70"/>
    </row>
    <row r="40" spans="1:29" ht="57" customHeight="1" thickBot="1" x14ac:dyDescent="0.45">
      <c r="A40" s="72"/>
      <c r="B40" s="992" t="s">
        <v>1769</v>
      </c>
      <c r="C40" s="993"/>
      <c r="D40" s="92"/>
      <c r="E40" s="62">
        <v>0.3</v>
      </c>
      <c r="F40" s="84"/>
      <c r="G40" s="95"/>
      <c r="H40" s="95"/>
      <c r="I40" s="82">
        <f>+AVERAGE(I41:I46)</f>
        <v>0.25</v>
      </c>
      <c r="J40" s="82">
        <f>+AVERAGE(J41:J46)</f>
        <v>0.32777777777777778</v>
      </c>
      <c r="K40" s="82">
        <f>+K41+K42+K43+K44+K45+K46</f>
        <v>3.7499999999999999E-2</v>
      </c>
      <c r="L40" s="82">
        <f>+L41+L42+L43+L44+L45+L46</f>
        <v>0.28416666666666668</v>
      </c>
      <c r="M40" s="83"/>
      <c r="N40" s="83"/>
      <c r="O40" s="83"/>
      <c r="P40" s="83"/>
      <c r="Q40" s="83"/>
      <c r="R40" s="83"/>
      <c r="S40" s="83"/>
      <c r="T40" s="574">
        <f>+AVERAGE(T41:T46)</f>
        <v>0</v>
      </c>
      <c r="U40" s="574">
        <f>+AVERAGE(U41:U46)</f>
        <v>0.5</v>
      </c>
      <c r="V40" s="574">
        <f>+(V41+V42+V43+V44+V45+V46)*E40</f>
        <v>0</v>
      </c>
      <c r="W40" s="574">
        <f>+(W41+W42+W43+W44+W45+W46)*E40</f>
        <v>0.16500000000000001</v>
      </c>
      <c r="X40" s="82">
        <f>+AVERAGE(X41:X46)</f>
        <v>0</v>
      </c>
      <c r="Y40" s="82">
        <f>+AVERAGE(Y41:Y46)</f>
        <v>0.219</v>
      </c>
      <c r="Z40" s="82">
        <f>+(Z41+Z42+Z43+Z44+Z45+Z46)*E40</f>
        <v>0</v>
      </c>
      <c r="AA40" s="82">
        <f>+(AA41+AA42+AA43+AA44+AA45+AA46)</f>
        <v>0.22239999999999999</v>
      </c>
      <c r="AB40" s="70"/>
      <c r="AC40" s="70"/>
    </row>
    <row r="41" spans="1:29" ht="93" customHeight="1" thickBot="1" x14ac:dyDescent="0.45">
      <c r="A41" s="72"/>
      <c r="B41" s="73" t="s">
        <v>1130</v>
      </c>
      <c r="C41" s="96" t="s">
        <v>1131</v>
      </c>
      <c r="D41" s="92" t="s">
        <v>162</v>
      </c>
      <c r="E41" s="63">
        <v>0.1</v>
      </c>
      <c r="F41" s="84">
        <v>6</v>
      </c>
      <c r="G41" s="95">
        <v>0</v>
      </c>
      <c r="H41" s="95">
        <v>1</v>
      </c>
      <c r="I41" s="85"/>
      <c r="J41" s="85">
        <f t="shared" ref="J41:J46" si="39">+H41/F41</f>
        <v>0.16666666666666666</v>
      </c>
      <c r="K41" s="85"/>
      <c r="L41" s="85">
        <f t="shared" ref="L41:L46" si="40">+(H41/F41)*E41</f>
        <v>1.6666666666666666E-2</v>
      </c>
      <c r="M41" s="95"/>
      <c r="N41" s="575">
        <v>0</v>
      </c>
      <c r="O41" s="575">
        <v>0</v>
      </c>
      <c r="P41" s="95"/>
      <c r="Q41" s="95"/>
      <c r="R41" s="573">
        <f t="shared" ref="R41:R46" si="41">+N41+O41+P41+Q41</f>
        <v>0</v>
      </c>
      <c r="S41" s="573">
        <f t="shared" ref="S41:S46" si="42">+R41+M41</f>
        <v>0</v>
      </c>
      <c r="T41" s="85"/>
      <c r="U41" s="85">
        <v>0</v>
      </c>
      <c r="V41" s="85"/>
      <c r="W41" s="85">
        <f t="shared" ref="W41:W46" si="43">+U41*E41</f>
        <v>0</v>
      </c>
      <c r="X41" s="85"/>
      <c r="Y41" s="85">
        <f t="shared" ref="Y41:Y46" si="44">+S41/F41</f>
        <v>0</v>
      </c>
      <c r="Z41" s="85"/>
      <c r="AA41" s="85">
        <f t="shared" ref="AA41:AA46" si="45">+Y41*E41</f>
        <v>0</v>
      </c>
      <c r="AB41" s="70"/>
      <c r="AC41" s="70"/>
    </row>
    <row r="42" spans="1:29" ht="97.95" customHeight="1" thickBot="1" x14ac:dyDescent="0.45">
      <c r="A42" s="72"/>
      <c r="B42" s="73" t="s">
        <v>1132</v>
      </c>
      <c r="C42" s="96" t="s">
        <v>1133</v>
      </c>
      <c r="D42" s="92" t="s">
        <v>162</v>
      </c>
      <c r="E42" s="63">
        <v>0.1</v>
      </c>
      <c r="F42" s="84">
        <v>4</v>
      </c>
      <c r="G42" s="95">
        <v>0</v>
      </c>
      <c r="H42" s="95">
        <v>1</v>
      </c>
      <c r="I42" s="85"/>
      <c r="J42" s="85">
        <f t="shared" si="39"/>
        <v>0.25</v>
      </c>
      <c r="K42" s="85"/>
      <c r="L42" s="85">
        <f t="shared" si="40"/>
        <v>2.5000000000000001E-2</v>
      </c>
      <c r="M42" s="95"/>
      <c r="N42" s="575">
        <v>0</v>
      </c>
      <c r="O42" s="575">
        <v>0</v>
      </c>
      <c r="P42" s="95"/>
      <c r="Q42" s="95"/>
      <c r="R42" s="573">
        <f t="shared" si="41"/>
        <v>0</v>
      </c>
      <c r="S42" s="573">
        <v>1</v>
      </c>
      <c r="T42" s="85"/>
      <c r="U42" s="85">
        <v>0</v>
      </c>
      <c r="V42" s="85"/>
      <c r="W42" s="85">
        <f t="shared" si="43"/>
        <v>0</v>
      </c>
      <c r="X42" s="85"/>
      <c r="Y42" s="85">
        <f t="shared" si="44"/>
        <v>0.25</v>
      </c>
      <c r="Z42" s="85"/>
      <c r="AA42" s="85">
        <f t="shared" si="45"/>
        <v>2.5000000000000001E-2</v>
      </c>
      <c r="AB42" s="70"/>
      <c r="AC42" s="70"/>
    </row>
    <row r="43" spans="1:29" ht="153" customHeight="1" thickBot="1" x14ac:dyDescent="0.45">
      <c r="A43" s="72"/>
      <c r="B43" s="74" t="s">
        <v>1134</v>
      </c>
      <c r="C43" s="89" t="s">
        <v>1135</v>
      </c>
      <c r="D43" s="92" t="s">
        <v>58</v>
      </c>
      <c r="E43" s="63">
        <v>0.35</v>
      </c>
      <c r="F43" s="84">
        <v>500</v>
      </c>
      <c r="G43" s="95">
        <v>0</v>
      </c>
      <c r="H43" s="95">
        <v>150</v>
      </c>
      <c r="I43" s="85"/>
      <c r="J43" s="85">
        <f t="shared" si="39"/>
        <v>0.3</v>
      </c>
      <c r="K43" s="85"/>
      <c r="L43" s="85">
        <f t="shared" si="40"/>
        <v>0.105</v>
      </c>
      <c r="M43" s="95"/>
      <c r="N43" s="575">
        <v>0</v>
      </c>
      <c r="O43" s="575">
        <v>109</v>
      </c>
      <c r="P43" s="575">
        <v>48</v>
      </c>
      <c r="Q43" s="95"/>
      <c r="R43" s="573">
        <f t="shared" si="41"/>
        <v>157</v>
      </c>
      <c r="S43" s="573">
        <f t="shared" si="42"/>
        <v>157</v>
      </c>
      <c r="T43" s="85"/>
      <c r="U43" s="85">
        <v>1</v>
      </c>
      <c r="V43" s="85"/>
      <c r="W43" s="85">
        <f t="shared" si="43"/>
        <v>0.35</v>
      </c>
      <c r="X43" s="85"/>
      <c r="Y43" s="85">
        <f t="shared" si="44"/>
        <v>0.314</v>
      </c>
      <c r="Z43" s="85"/>
      <c r="AA43" s="85">
        <f>+Y43*E43</f>
        <v>0.1099</v>
      </c>
      <c r="AB43" s="70"/>
      <c r="AC43" s="70"/>
    </row>
    <row r="44" spans="1:29" ht="93" customHeight="1" thickBot="1" x14ac:dyDescent="0.45">
      <c r="A44" s="72"/>
      <c r="B44" s="74" t="s">
        <v>1136</v>
      </c>
      <c r="C44" s="89" t="s">
        <v>1137</v>
      </c>
      <c r="D44" s="92" t="s">
        <v>620</v>
      </c>
      <c r="E44" s="63">
        <v>0.15</v>
      </c>
      <c r="F44" s="84">
        <v>4</v>
      </c>
      <c r="G44" s="95">
        <v>1</v>
      </c>
      <c r="H44" s="95">
        <v>1</v>
      </c>
      <c r="I44" s="85">
        <f>+G44/F44</f>
        <v>0.25</v>
      </c>
      <c r="J44" s="85">
        <f t="shared" si="39"/>
        <v>0.25</v>
      </c>
      <c r="K44" s="85">
        <f>+(G44/F44)*E44</f>
        <v>3.7499999999999999E-2</v>
      </c>
      <c r="L44" s="85">
        <f t="shared" si="40"/>
        <v>3.7499999999999999E-2</v>
      </c>
      <c r="M44" s="95">
        <v>0</v>
      </c>
      <c r="N44" s="575">
        <v>0</v>
      </c>
      <c r="O44" s="575">
        <v>1</v>
      </c>
      <c r="P44" s="575">
        <v>0</v>
      </c>
      <c r="Q44" s="95"/>
      <c r="R44" s="573">
        <f t="shared" si="41"/>
        <v>1</v>
      </c>
      <c r="S44" s="573">
        <f t="shared" si="42"/>
        <v>1</v>
      </c>
      <c r="T44" s="85">
        <f>+(M44/G44)</f>
        <v>0</v>
      </c>
      <c r="U44" s="85">
        <f t="shared" ref="U44:U45" si="46">+R44/H44</f>
        <v>1</v>
      </c>
      <c r="V44" s="85">
        <f>+T44*E44</f>
        <v>0</v>
      </c>
      <c r="W44" s="85">
        <f t="shared" si="43"/>
        <v>0.15</v>
      </c>
      <c r="X44" s="85">
        <f>+M44/F44</f>
        <v>0</v>
      </c>
      <c r="Y44" s="85">
        <f t="shared" si="44"/>
        <v>0.25</v>
      </c>
      <c r="Z44" s="85">
        <f>+X44*E44</f>
        <v>0</v>
      </c>
      <c r="AA44" s="85">
        <f t="shared" si="45"/>
        <v>3.7499999999999999E-2</v>
      </c>
      <c r="AB44" s="70"/>
      <c r="AC44" s="70"/>
    </row>
    <row r="45" spans="1:29" ht="141" customHeight="1" thickBot="1" x14ac:dyDescent="0.45">
      <c r="A45" s="72"/>
      <c r="B45" s="73" t="s">
        <v>1138</v>
      </c>
      <c r="C45" s="96" t="s">
        <v>1139</v>
      </c>
      <c r="D45" s="92" t="s">
        <v>565</v>
      </c>
      <c r="E45" s="63">
        <v>0.1</v>
      </c>
      <c r="F45" s="84">
        <v>1</v>
      </c>
      <c r="G45" s="95">
        <v>0</v>
      </c>
      <c r="H45" s="95">
        <v>1</v>
      </c>
      <c r="I45" s="85"/>
      <c r="J45" s="85">
        <f t="shared" si="39"/>
        <v>1</v>
      </c>
      <c r="K45" s="85"/>
      <c r="L45" s="85">
        <f t="shared" si="40"/>
        <v>0.1</v>
      </c>
      <c r="M45" s="95"/>
      <c r="N45" s="575">
        <v>0</v>
      </c>
      <c r="O45" s="575">
        <v>0.05</v>
      </c>
      <c r="P45" s="575">
        <v>0.45</v>
      </c>
      <c r="Q45" s="95"/>
      <c r="R45" s="573">
        <f t="shared" si="41"/>
        <v>0.5</v>
      </c>
      <c r="S45" s="573">
        <f t="shared" si="42"/>
        <v>0.5</v>
      </c>
      <c r="T45" s="85"/>
      <c r="U45" s="85">
        <f t="shared" si="46"/>
        <v>0.5</v>
      </c>
      <c r="V45" s="85"/>
      <c r="W45" s="85">
        <f t="shared" si="43"/>
        <v>0.05</v>
      </c>
      <c r="X45" s="85"/>
      <c r="Y45" s="85">
        <f t="shared" si="44"/>
        <v>0.5</v>
      </c>
      <c r="Z45" s="85"/>
      <c r="AA45" s="85">
        <f t="shared" si="45"/>
        <v>0.05</v>
      </c>
      <c r="AB45" s="70"/>
      <c r="AC45" s="70"/>
    </row>
    <row r="46" spans="1:29" ht="93" customHeight="1" thickBot="1" x14ac:dyDescent="0.45">
      <c r="A46" s="72"/>
      <c r="B46" s="74" t="s">
        <v>1140</v>
      </c>
      <c r="C46" s="89" t="s">
        <v>1141</v>
      </c>
      <c r="D46" s="101" t="s">
        <v>707</v>
      </c>
      <c r="E46" s="63">
        <v>0.2</v>
      </c>
      <c r="F46" s="84">
        <v>60</v>
      </c>
      <c r="G46" s="95">
        <v>0</v>
      </c>
      <c r="H46" s="95">
        <v>0</v>
      </c>
      <c r="I46" s="85"/>
      <c r="J46" s="85">
        <f t="shared" si="39"/>
        <v>0</v>
      </c>
      <c r="K46" s="85"/>
      <c r="L46" s="85">
        <f t="shared" si="40"/>
        <v>0</v>
      </c>
      <c r="M46" s="95"/>
      <c r="N46" s="575"/>
      <c r="O46" s="575"/>
      <c r="P46" s="575"/>
      <c r="Q46" s="95"/>
      <c r="R46" s="573">
        <f t="shared" si="41"/>
        <v>0</v>
      </c>
      <c r="S46" s="573">
        <f t="shared" si="42"/>
        <v>0</v>
      </c>
      <c r="T46" s="85"/>
      <c r="U46" s="85"/>
      <c r="V46" s="85"/>
      <c r="W46" s="85">
        <f t="shared" si="43"/>
        <v>0</v>
      </c>
      <c r="X46" s="85"/>
      <c r="Y46" s="85">
        <f t="shared" si="44"/>
        <v>0</v>
      </c>
      <c r="Z46" s="85"/>
      <c r="AA46" s="85">
        <f t="shared" si="45"/>
        <v>0</v>
      </c>
      <c r="AB46" s="70"/>
      <c r="AC46" s="70"/>
    </row>
    <row r="47" spans="1:29" ht="57" customHeight="1" thickBot="1" x14ac:dyDescent="0.45">
      <c r="A47" s="72"/>
      <c r="B47" s="992" t="s">
        <v>1770</v>
      </c>
      <c r="C47" s="993"/>
      <c r="D47" s="92"/>
      <c r="E47" s="62">
        <v>0.4</v>
      </c>
      <c r="F47" s="84"/>
      <c r="G47" s="95"/>
      <c r="H47" s="95"/>
      <c r="I47" s="82">
        <f>+AVERAGE(I48:I52)</f>
        <v>0.125</v>
      </c>
      <c r="J47" s="82">
        <f>+AVERAGE(J48:J52)</f>
        <v>0.26166666666666666</v>
      </c>
      <c r="K47" s="82">
        <f>+K48+K49+K50+K51+K52</f>
        <v>3.125E-2</v>
      </c>
      <c r="L47" s="82">
        <f>+L48+L49+L50+L51+L52</f>
        <v>0.29541666666666666</v>
      </c>
      <c r="M47" s="83"/>
      <c r="N47" s="83"/>
      <c r="O47" s="83"/>
      <c r="P47" s="83"/>
      <c r="Q47" s="83"/>
      <c r="R47" s="83"/>
      <c r="S47" s="83"/>
      <c r="T47" s="574">
        <f>+AVERAGE(T48:T52)</f>
        <v>0</v>
      </c>
      <c r="U47" s="574">
        <f>+AVERAGE(U48:U52)</f>
        <v>0.61416666666666664</v>
      </c>
      <c r="V47" s="574">
        <f>+(V48+V49+V50+V51+V52)*E47</f>
        <v>0</v>
      </c>
      <c r="W47" s="574">
        <f>+(W48+W49+W50+W51+W52)*E47</f>
        <v>0.2166666666666667</v>
      </c>
      <c r="X47" s="82">
        <f>+AVERAGE(X48:X52)</f>
        <v>0</v>
      </c>
      <c r="Y47" s="82">
        <f>+AVERAGE(Y48:Y52)</f>
        <v>0.15899999999999997</v>
      </c>
      <c r="Z47" s="82">
        <f>+(Z48+Z49+Z50+Z51+Z52)*E47</f>
        <v>0</v>
      </c>
      <c r="AA47" s="82">
        <f>+(AA48+AA49+AA50+AA51+AA52)</f>
        <v>0.17524999999999999</v>
      </c>
      <c r="AB47" s="70"/>
      <c r="AC47" s="70"/>
    </row>
    <row r="48" spans="1:29" ht="154.19999999999999" customHeight="1" thickBot="1" x14ac:dyDescent="0.45">
      <c r="A48" s="72"/>
      <c r="B48" s="74" t="s">
        <v>1142</v>
      </c>
      <c r="C48" s="89" t="s">
        <v>1143</v>
      </c>
      <c r="D48" s="92" t="s">
        <v>58</v>
      </c>
      <c r="E48" s="63">
        <v>0.2</v>
      </c>
      <c r="F48" s="84">
        <v>60</v>
      </c>
      <c r="G48" s="95">
        <v>0</v>
      </c>
      <c r="H48" s="95">
        <v>20</v>
      </c>
      <c r="I48" s="85"/>
      <c r="J48" s="85">
        <f t="shared" ref="J48:J52" si="47">+H48/F48</f>
        <v>0.33333333333333331</v>
      </c>
      <c r="K48" s="85"/>
      <c r="L48" s="85">
        <f t="shared" ref="L48:L52" si="48">+(H48/F48)*E48</f>
        <v>6.6666666666666666E-2</v>
      </c>
      <c r="M48" s="95"/>
      <c r="N48" s="575">
        <v>0</v>
      </c>
      <c r="O48" s="575">
        <v>9</v>
      </c>
      <c r="P48" s="575">
        <v>0</v>
      </c>
      <c r="Q48" s="95"/>
      <c r="R48" s="573">
        <f t="shared" ref="R48:R52" si="49">+N48+O48+P48+Q48</f>
        <v>9</v>
      </c>
      <c r="S48" s="573">
        <f t="shared" ref="S48:S52" si="50">+R48+M48</f>
        <v>9</v>
      </c>
      <c r="T48" s="85"/>
      <c r="U48" s="85">
        <f t="shared" ref="U48:U51" si="51">+R48/H48</f>
        <v>0.45</v>
      </c>
      <c r="V48" s="85"/>
      <c r="W48" s="85">
        <f t="shared" ref="W48:W52" si="52">+U48*E48</f>
        <v>9.0000000000000011E-2</v>
      </c>
      <c r="X48" s="85"/>
      <c r="Y48" s="85">
        <f t="shared" ref="Y48:Y52" si="53">+S48/F48</f>
        <v>0.15</v>
      </c>
      <c r="Z48" s="85"/>
      <c r="AA48" s="85">
        <f t="shared" ref="AA48:AA52" si="54">+Y48*E48</f>
        <v>0.03</v>
      </c>
      <c r="AB48" s="70"/>
      <c r="AC48" s="70"/>
    </row>
    <row r="49" spans="1:29" ht="98.4" customHeight="1" thickBot="1" x14ac:dyDescent="0.45">
      <c r="A49" s="72"/>
      <c r="B49" s="74" t="s">
        <v>1144</v>
      </c>
      <c r="C49" s="89" t="s">
        <v>1145</v>
      </c>
      <c r="D49" s="97" t="s">
        <v>1146</v>
      </c>
      <c r="E49" s="63">
        <v>0.25</v>
      </c>
      <c r="F49" s="84">
        <v>200</v>
      </c>
      <c r="G49" s="95">
        <v>25</v>
      </c>
      <c r="H49" s="95">
        <v>75</v>
      </c>
      <c r="I49" s="85">
        <f>+G49/F49</f>
        <v>0.125</v>
      </c>
      <c r="J49" s="85">
        <f t="shared" si="47"/>
        <v>0.375</v>
      </c>
      <c r="K49" s="85">
        <f>+(G49/F49)*E49</f>
        <v>3.125E-2</v>
      </c>
      <c r="L49" s="85">
        <f t="shared" si="48"/>
        <v>9.375E-2</v>
      </c>
      <c r="M49" s="95">
        <v>0</v>
      </c>
      <c r="N49" s="575">
        <v>0</v>
      </c>
      <c r="O49" s="864">
        <v>0</v>
      </c>
      <c r="P49" s="864">
        <v>23</v>
      </c>
      <c r="Q49" s="95"/>
      <c r="R49" s="573">
        <f t="shared" si="49"/>
        <v>23</v>
      </c>
      <c r="S49" s="573">
        <f t="shared" si="50"/>
        <v>23</v>
      </c>
      <c r="T49" s="85">
        <f>+(M49/G49)</f>
        <v>0</v>
      </c>
      <c r="U49" s="85">
        <f t="shared" si="51"/>
        <v>0.30666666666666664</v>
      </c>
      <c r="V49" s="85">
        <f>+T49*E49</f>
        <v>0</v>
      </c>
      <c r="W49" s="85">
        <f t="shared" si="52"/>
        <v>7.6666666666666661E-2</v>
      </c>
      <c r="X49" s="85">
        <f>+M49/F49</f>
        <v>0</v>
      </c>
      <c r="Y49" s="85">
        <f t="shared" si="53"/>
        <v>0.115</v>
      </c>
      <c r="Z49" s="85">
        <f>+X49*E49</f>
        <v>0</v>
      </c>
      <c r="AA49" s="85">
        <f t="shared" si="54"/>
        <v>2.8750000000000001E-2</v>
      </c>
      <c r="AB49" s="70"/>
      <c r="AC49" s="70"/>
    </row>
    <row r="50" spans="1:29" ht="154.19999999999999" customHeight="1" thickBot="1" x14ac:dyDescent="0.45">
      <c r="A50" s="72"/>
      <c r="B50" s="73" t="s">
        <v>1147</v>
      </c>
      <c r="C50" s="96" t="s">
        <v>1148</v>
      </c>
      <c r="D50" s="98" t="s">
        <v>516</v>
      </c>
      <c r="E50" s="63">
        <v>0.1</v>
      </c>
      <c r="F50" s="84">
        <v>8</v>
      </c>
      <c r="G50" s="95">
        <v>0</v>
      </c>
      <c r="H50" s="95"/>
      <c r="I50" s="85"/>
      <c r="J50" s="85">
        <f t="shared" si="47"/>
        <v>0</v>
      </c>
      <c r="K50" s="85"/>
      <c r="L50" s="85">
        <f t="shared" si="48"/>
        <v>0</v>
      </c>
      <c r="M50" s="95"/>
      <c r="N50" s="575"/>
      <c r="O50" s="95"/>
      <c r="P50" s="95"/>
      <c r="Q50" s="95"/>
      <c r="R50" s="573">
        <f t="shared" si="49"/>
        <v>0</v>
      </c>
      <c r="S50" s="573">
        <f t="shared" si="50"/>
        <v>0</v>
      </c>
      <c r="T50" s="85"/>
      <c r="U50" s="85"/>
      <c r="V50" s="85"/>
      <c r="W50" s="85">
        <f t="shared" si="52"/>
        <v>0</v>
      </c>
      <c r="X50" s="85"/>
      <c r="Y50" s="85">
        <f t="shared" si="53"/>
        <v>0</v>
      </c>
      <c r="Z50" s="85"/>
      <c r="AA50" s="85">
        <f t="shared" si="54"/>
        <v>0</v>
      </c>
      <c r="AB50" s="70"/>
      <c r="AC50" s="70"/>
    </row>
    <row r="51" spans="1:29" ht="97.95" customHeight="1" thickBot="1" x14ac:dyDescent="0.45">
      <c r="A51" s="72"/>
      <c r="B51" s="73" t="s">
        <v>1149</v>
      </c>
      <c r="C51" s="96" t="s">
        <v>1150</v>
      </c>
      <c r="D51" s="99" t="s">
        <v>1151</v>
      </c>
      <c r="E51" s="63">
        <v>0.25</v>
      </c>
      <c r="F51" s="84">
        <v>100</v>
      </c>
      <c r="G51" s="95"/>
      <c r="H51" s="95">
        <v>30</v>
      </c>
      <c r="I51" s="85"/>
      <c r="J51" s="85">
        <f t="shared" si="47"/>
        <v>0.3</v>
      </c>
      <c r="K51" s="85"/>
      <c r="L51" s="85">
        <f t="shared" si="48"/>
        <v>7.4999999999999997E-2</v>
      </c>
      <c r="M51" s="95"/>
      <c r="N51" s="575">
        <v>21</v>
      </c>
      <c r="O51" s="575">
        <v>0</v>
      </c>
      <c r="P51" s="575">
        <v>0</v>
      </c>
      <c r="Q51" s="95"/>
      <c r="R51" s="573">
        <f t="shared" si="49"/>
        <v>21</v>
      </c>
      <c r="S51" s="573">
        <f t="shared" si="50"/>
        <v>21</v>
      </c>
      <c r="T51" s="85"/>
      <c r="U51" s="85">
        <f t="shared" si="51"/>
        <v>0.7</v>
      </c>
      <c r="V51" s="85"/>
      <c r="W51" s="85">
        <f t="shared" si="52"/>
        <v>0.17499999999999999</v>
      </c>
      <c r="X51" s="85"/>
      <c r="Y51" s="85">
        <f t="shared" si="53"/>
        <v>0.21</v>
      </c>
      <c r="Z51" s="85"/>
      <c r="AA51" s="85">
        <f>+Y51*E51</f>
        <v>5.2499999999999998E-2</v>
      </c>
      <c r="AB51" s="70"/>
      <c r="AC51" s="70"/>
    </row>
    <row r="52" spans="1:29" ht="122.4" customHeight="1" thickBot="1" x14ac:dyDescent="0.45">
      <c r="A52" s="72"/>
      <c r="B52" s="73" t="s">
        <v>1152</v>
      </c>
      <c r="C52" s="96" t="s">
        <v>1153</v>
      </c>
      <c r="D52" s="92" t="s">
        <v>1151</v>
      </c>
      <c r="E52" s="63">
        <v>0.2</v>
      </c>
      <c r="F52" s="84">
        <v>100</v>
      </c>
      <c r="G52" s="95"/>
      <c r="H52" s="95">
        <v>30</v>
      </c>
      <c r="I52" s="85"/>
      <c r="J52" s="85">
        <f t="shared" si="47"/>
        <v>0.3</v>
      </c>
      <c r="K52" s="85"/>
      <c r="L52" s="85">
        <f t="shared" si="48"/>
        <v>0.06</v>
      </c>
      <c r="M52" s="95"/>
      <c r="N52" s="575">
        <v>0</v>
      </c>
      <c r="O52" s="575">
        <v>32</v>
      </c>
      <c r="P52" s="575">
        <v>0</v>
      </c>
      <c r="Q52" s="95"/>
      <c r="R52" s="573">
        <f t="shared" si="49"/>
        <v>32</v>
      </c>
      <c r="S52" s="573">
        <f t="shared" si="50"/>
        <v>32</v>
      </c>
      <c r="T52" s="85"/>
      <c r="U52" s="85">
        <v>1</v>
      </c>
      <c r="V52" s="85"/>
      <c r="W52" s="85">
        <f t="shared" si="52"/>
        <v>0.2</v>
      </c>
      <c r="X52" s="86"/>
      <c r="Y52" s="85">
        <f t="shared" si="53"/>
        <v>0.32</v>
      </c>
      <c r="Z52" s="86"/>
      <c r="AA52" s="86">
        <f t="shared" si="54"/>
        <v>6.4000000000000001E-2</v>
      </c>
      <c r="AB52" s="70"/>
      <c r="AC52" s="70"/>
    </row>
    <row r="53" spans="1:29" ht="15.75" customHeight="1" thickBot="1" x14ac:dyDescent="0.45">
      <c r="A53" s="70"/>
      <c r="B53" s="70"/>
      <c r="C53" s="70"/>
      <c r="D53" s="87"/>
      <c r="E53" s="87"/>
      <c r="F53" s="87"/>
      <c r="G53" s="87"/>
      <c r="H53" s="87"/>
      <c r="I53" s="87"/>
      <c r="J53" s="87"/>
      <c r="K53" s="87"/>
      <c r="L53" s="87"/>
      <c r="M53" s="87"/>
      <c r="N53" s="87"/>
      <c r="O53" s="87"/>
      <c r="P53" s="87"/>
      <c r="Q53" s="87"/>
      <c r="R53" s="87"/>
      <c r="S53" s="87"/>
      <c r="T53" s="87"/>
      <c r="U53" s="87"/>
      <c r="V53" s="87"/>
      <c r="W53" s="87"/>
      <c r="X53" s="87"/>
      <c r="Y53" s="87"/>
      <c r="Z53" s="87"/>
      <c r="AA53" s="87"/>
      <c r="AB53" s="70"/>
      <c r="AC53" s="70"/>
    </row>
    <row r="54" spans="1:29" ht="15.75" customHeight="1" thickBot="1" x14ac:dyDescent="0.4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row>
    <row r="55" spans="1:29" ht="15.75" customHeight="1" thickBot="1" x14ac:dyDescent="0.4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row>
    <row r="56" spans="1:29" ht="15.75" customHeight="1" thickBot="1" x14ac:dyDescent="0.4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row>
    <row r="57" spans="1:29" ht="15.75" customHeight="1" thickBot="1" x14ac:dyDescent="0.4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row>
    <row r="58" spans="1:29" ht="15.75" customHeight="1" thickBot="1" x14ac:dyDescent="0.4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row>
    <row r="59" spans="1:29" ht="15.75" customHeight="1" thickBot="1" x14ac:dyDescent="0.4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row>
    <row r="60" spans="1:29" ht="15.75" customHeight="1" thickBot="1" x14ac:dyDescent="0.4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row>
    <row r="61" spans="1:29" ht="15.75" customHeight="1" thickBot="1" x14ac:dyDescent="0.4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row>
    <row r="62" spans="1:29" ht="43.2" customHeight="1" thickBot="1" x14ac:dyDescent="0.4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row>
    <row r="63" spans="1:29" ht="15.75" customHeight="1" thickBot="1" x14ac:dyDescent="0.4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row>
    <row r="64" spans="1:29" ht="15.75" customHeight="1" thickBot="1" x14ac:dyDescent="0.4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row>
    <row r="65" spans="1:29" ht="15.75" customHeight="1" thickBot="1" x14ac:dyDescent="0.4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row>
    <row r="66" spans="1:29" ht="15.75" customHeight="1" thickBot="1" x14ac:dyDescent="0.4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row>
    <row r="67" spans="1:29" ht="15.75" customHeight="1" thickBot="1" x14ac:dyDescent="0.4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row>
    <row r="68" spans="1:29" ht="15.75" customHeight="1" thickBot="1" x14ac:dyDescent="0.4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row>
    <row r="69" spans="1:29" ht="15.75" customHeight="1" thickBot="1" x14ac:dyDescent="0.4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row>
    <row r="70" spans="1:29" ht="15.75" customHeight="1" thickBot="1" x14ac:dyDescent="0.4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row>
    <row r="71" spans="1:29" ht="15.75" customHeight="1" thickBot="1" x14ac:dyDescent="0.4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row>
    <row r="72" spans="1:29" ht="15.75" customHeight="1" thickBot="1" x14ac:dyDescent="0.4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row>
    <row r="73" spans="1:29" ht="15.75" customHeight="1" thickBot="1" x14ac:dyDescent="0.4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row>
    <row r="74" spans="1:29" ht="15.75" customHeight="1" thickBot="1" x14ac:dyDescent="0.4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row>
    <row r="75" spans="1:29" ht="15.75" customHeight="1" thickBot="1" x14ac:dyDescent="0.4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row>
    <row r="76" spans="1:29" ht="15.75" customHeight="1" thickBot="1" x14ac:dyDescent="0.4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row>
    <row r="77" spans="1:29" ht="15.75" customHeight="1" thickBot="1" x14ac:dyDescent="0.4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row>
    <row r="78" spans="1:29" ht="15.75" customHeight="1" thickBot="1" x14ac:dyDescent="0.4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row>
    <row r="79" spans="1:29" ht="15.75" customHeight="1" thickBot="1" x14ac:dyDescent="0.4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row>
    <row r="80" spans="1:29" ht="15.75" customHeight="1" thickBot="1" x14ac:dyDescent="0.4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row>
    <row r="81" spans="1:29" ht="15.75" customHeight="1" thickBot="1" x14ac:dyDescent="0.4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row>
    <row r="82" spans="1:29" ht="15.75" customHeight="1" thickBot="1" x14ac:dyDescent="0.4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row>
    <row r="83" spans="1:29" ht="15.75" customHeight="1" thickBot="1" x14ac:dyDescent="0.4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row>
    <row r="84" spans="1:29" ht="15.75" customHeight="1" thickBot="1" x14ac:dyDescent="0.4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row>
    <row r="85" spans="1:29" ht="15.75" customHeight="1" thickBot="1" x14ac:dyDescent="0.4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row>
    <row r="86" spans="1:29" ht="15.75" customHeight="1" thickBot="1" x14ac:dyDescent="0.4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row>
    <row r="87" spans="1:29" ht="15.75" customHeight="1" thickBot="1" x14ac:dyDescent="0.4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row>
    <row r="88" spans="1:29" ht="15.75" customHeight="1" thickBot="1" x14ac:dyDescent="0.4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row>
    <row r="89" spans="1:29" ht="15.75" customHeight="1" thickBot="1" x14ac:dyDescent="0.4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row>
    <row r="90" spans="1:29" ht="15.75" customHeight="1" thickBot="1" x14ac:dyDescent="0.4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row>
    <row r="91" spans="1:29" ht="15.75" customHeight="1" thickBot="1" x14ac:dyDescent="0.4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row>
    <row r="92" spans="1:29" ht="15.75" customHeight="1" thickBot="1" x14ac:dyDescent="0.4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row>
    <row r="93" spans="1:29" ht="15.75" customHeight="1" thickBot="1" x14ac:dyDescent="0.4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row>
    <row r="94" spans="1:29" ht="15.75" customHeight="1" thickBot="1" x14ac:dyDescent="0.4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row>
    <row r="95" spans="1:29" ht="15.75" customHeight="1" thickBot="1" x14ac:dyDescent="0.4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row>
    <row r="96" spans="1:29" ht="15.75" customHeight="1" thickBot="1" x14ac:dyDescent="0.4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row>
    <row r="97" spans="1:29" ht="15.75" customHeight="1" thickBot="1" x14ac:dyDescent="0.4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row>
    <row r="98" spans="1:29" ht="15.75" customHeight="1" thickBot="1" x14ac:dyDescent="0.45">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row>
    <row r="99" spans="1:29" ht="15.75" customHeight="1" thickBot="1" x14ac:dyDescent="0.45">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row>
    <row r="100" spans="1:29" ht="15.75" customHeight="1" thickBot="1" x14ac:dyDescent="0.45">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row>
    <row r="101" spans="1:29" ht="15.75" customHeight="1" thickBot="1" x14ac:dyDescent="0.4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row>
    <row r="102" spans="1:29" ht="15.75" customHeight="1" thickBot="1" x14ac:dyDescent="0.45">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row>
    <row r="103" spans="1:29" ht="15.75" customHeight="1" thickBot="1" x14ac:dyDescent="0.45">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row>
    <row r="104" spans="1:29" ht="15.75" customHeight="1" thickBot="1" x14ac:dyDescent="0.4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row>
    <row r="105" spans="1:29" ht="15.75" customHeight="1" thickBot="1" x14ac:dyDescent="0.45">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row>
    <row r="106" spans="1:29" ht="15.75" customHeight="1" thickBot="1" x14ac:dyDescent="0.45">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row>
    <row r="107" spans="1:29" ht="15.75" customHeight="1" thickBot="1" x14ac:dyDescent="0.45">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row>
    <row r="108" spans="1:29" ht="15.75" customHeight="1" thickBot="1" x14ac:dyDescent="0.45">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row>
    <row r="109" spans="1:29" ht="15.75" customHeight="1" thickBot="1" x14ac:dyDescent="0.45">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row>
    <row r="110" spans="1:29" ht="15.75" customHeight="1" thickBot="1" x14ac:dyDescent="0.45">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row>
    <row r="111" spans="1:29" ht="15.75" customHeight="1" thickBot="1" x14ac:dyDescent="0.45">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row>
    <row r="112" spans="1:29" ht="15.75" customHeight="1" thickBot="1" x14ac:dyDescent="0.45">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row>
    <row r="113" spans="1:29" ht="15.75" customHeight="1" thickBot="1" x14ac:dyDescent="0.4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row>
    <row r="114" spans="1:29" ht="15.75" customHeight="1" thickBot="1" x14ac:dyDescent="0.45">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row>
    <row r="115" spans="1:29" ht="15.75" customHeight="1" thickBot="1" x14ac:dyDescent="0.45">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row>
    <row r="116" spans="1:29" ht="15.75" customHeight="1" thickBot="1" x14ac:dyDescent="0.45">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row>
    <row r="117" spans="1:29" ht="15.75" customHeight="1" thickBot="1" x14ac:dyDescent="0.45">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row>
    <row r="118" spans="1:29" ht="15.75" customHeight="1" thickBot="1" x14ac:dyDescent="0.45">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row>
    <row r="119" spans="1:29" ht="15.75" customHeight="1" thickBot="1" x14ac:dyDescent="0.45">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row>
    <row r="120" spans="1:29" ht="15.75" customHeight="1" thickBot="1" x14ac:dyDescent="0.4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row>
    <row r="121" spans="1:29" ht="15.75" customHeight="1" thickBot="1" x14ac:dyDescent="0.4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row>
    <row r="122" spans="1:29" ht="15.75" customHeight="1" thickBot="1" x14ac:dyDescent="0.4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row>
    <row r="123" spans="1:29" ht="15.75" customHeight="1" thickBot="1" x14ac:dyDescent="0.4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row>
    <row r="124" spans="1:29" ht="15.75" customHeight="1" thickBot="1" x14ac:dyDescent="0.45">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row>
    <row r="125" spans="1:29" ht="15.75" customHeight="1" thickBot="1" x14ac:dyDescent="0.45">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row>
    <row r="126" spans="1:29" ht="15.75" customHeight="1" thickBot="1" x14ac:dyDescent="0.45">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row>
    <row r="127" spans="1:29" ht="15.75" customHeight="1" thickBot="1" x14ac:dyDescent="0.45">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row>
    <row r="128" spans="1:29" ht="15.75" customHeight="1" thickBot="1" x14ac:dyDescent="0.45">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row>
    <row r="129" spans="1:29" ht="15.75" customHeight="1" thickBot="1" x14ac:dyDescent="0.45">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row>
    <row r="130" spans="1:29" ht="15.75" customHeight="1" thickBot="1" x14ac:dyDescent="0.45">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row>
    <row r="131" spans="1:29" ht="15.75" customHeight="1" thickBot="1" x14ac:dyDescent="0.45">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row>
    <row r="132" spans="1:29" ht="15.75" customHeight="1" thickBot="1" x14ac:dyDescent="0.45">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row>
    <row r="133" spans="1:29" ht="15.75" customHeight="1" thickBot="1" x14ac:dyDescent="0.45">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row>
    <row r="134" spans="1:29" ht="15.75" customHeight="1" thickBot="1" x14ac:dyDescent="0.4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row>
    <row r="135" spans="1:29" ht="15.75" customHeight="1" thickBot="1" x14ac:dyDescent="0.45">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row>
    <row r="136" spans="1:29" ht="15.75" customHeight="1" thickBot="1" x14ac:dyDescent="0.45">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row>
    <row r="137" spans="1:29" ht="15.75" customHeight="1" thickBot="1" x14ac:dyDescent="0.45">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row>
    <row r="138" spans="1:29" ht="15.75" customHeight="1" thickBot="1" x14ac:dyDescent="0.45">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row>
    <row r="139" spans="1:29" ht="15.75" customHeight="1" thickBot="1" x14ac:dyDescent="0.45">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row>
    <row r="140" spans="1:29" ht="15.75" customHeight="1" thickBot="1" x14ac:dyDescent="0.45">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row>
    <row r="141" spans="1:29" ht="15.75" customHeight="1" thickBot="1" x14ac:dyDescent="0.45">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row>
    <row r="142" spans="1:29" ht="15.75" customHeight="1" thickBot="1" x14ac:dyDescent="0.45">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row>
    <row r="143" spans="1:29" ht="15.75" customHeight="1" thickBot="1" x14ac:dyDescent="0.45">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row>
    <row r="144" spans="1:29" ht="15.75" customHeight="1" thickBot="1" x14ac:dyDescent="0.45">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row>
    <row r="145" spans="1:29" ht="15.75" customHeight="1" thickBot="1" x14ac:dyDescent="0.45">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row>
    <row r="146" spans="1:29" ht="15.75" customHeight="1" thickBot="1" x14ac:dyDescent="0.45">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row>
    <row r="147" spans="1:29" ht="15.75" customHeight="1" thickBot="1" x14ac:dyDescent="0.45">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row>
    <row r="148" spans="1:29" ht="15.75" customHeight="1" thickBot="1" x14ac:dyDescent="0.45">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row>
    <row r="149" spans="1:29" ht="15.75" customHeight="1" thickBot="1" x14ac:dyDescent="0.45">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row>
    <row r="150" spans="1:29" ht="15.75" customHeight="1" thickBot="1" x14ac:dyDescent="0.4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row>
    <row r="151" spans="1:29" ht="15.75" customHeight="1" thickBot="1" x14ac:dyDescent="0.45">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row>
    <row r="152" spans="1:29" ht="15.75" customHeight="1" thickBot="1" x14ac:dyDescent="0.45">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row>
    <row r="153" spans="1:29" ht="15.75" customHeight="1" thickBot="1" x14ac:dyDescent="0.45">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row>
    <row r="154" spans="1:29" ht="15.75" customHeight="1" thickBot="1" x14ac:dyDescent="0.45">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row>
    <row r="155" spans="1:29" ht="15.75" customHeight="1" thickBot="1" x14ac:dyDescent="0.45">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row>
    <row r="156" spans="1:29" ht="15.75" customHeight="1" thickBot="1" x14ac:dyDescent="0.45">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row>
    <row r="157" spans="1:29" ht="15.75" customHeight="1" thickBot="1" x14ac:dyDescent="0.45">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row>
    <row r="158" spans="1:29" ht="15.75" customHeight="1" thickBot="1" x14ac:dyDescent="0.45">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row>
    <row r="159" spans="1:29" ht="15.75" customHeight="1" thickBot="1" x14ac:dyDescent="0.45">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row>
    <row r="160" spans="1:29" ht="15.75" customHeight="1" thickBot="1" x14ac:dyDescent="0.45">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row>
    <row r="161" spans="1:29" ht="15.75" customHeight="1" thickBot="1" x14ac:dyDescent="0.45">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row>
    <row r="162" spans="1:29" ht="15.75" customHeight="1" thickBot="1" x14ac:dyDescent="0.45">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row>
    <row r="163" spans="1:29" ht="15.75" customHeight="1" thickBot="1" x14ac:dyDescent="0.45">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row>
    <row r="164" spans="1:29" ht="15.75" customHeight="1" thickBot="1" x14ac:dyDescent="0.45">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row>
    <row r="165" spans="1:29" ht="15.75" customHeight="1" thickBot="1" x14ac:dyDescent="0.45">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row>
    <row r="166" spans="1:29" ht="15.75" customHeight="1" thickBot="1" x14ac:dyDescent="0.45">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row>
    <row r="167" spans="1:29" ht="15.75" customHeight="1" thickBot="1" x14ac:dyDescent="0.45">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row>
    <row r="168" spans="1:29" ht="15.75" customHeight="1" thickBot="1" x14ac:dyDescent="0.45">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row>
    <row r="169" spans="1:29" ht="15.75" customHeight="1" thickBot="1" x14ac:dyDescent="0.45">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row>
    <row r="170" spans="1:29" ht="15.75" customHeight="1" thickBot="1" x14ac:dyDescent="0.45">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row>
    <row r="171" spans="1:29" ht="15.75" customHeight="1" thickBot="1" x14ac:dyDescent="0.45">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row>
    <row r="172" spans="1:29" ht="15.75" customHeight="1" thickBot="1" x14ac:dyDescent="0.45">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row>
    <row r="173" spans="1:29" ht="15.75" customHeight="1" thickBot="1" x14ac:dyDescent="0.45">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row>
    <row r="174" spans="1:29" ht="15.75" customHeight="1" thickBot="1" x14ac:dyDescent="0.45">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row>
    <row r="175" spans="1:29" ht="15.75" customHeight="1" thickBot="1" x14ac:dyDescent="0.45">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row>
    <row r="176" spans="1:29" ht="15.75" customHeight="1" thickBot="1" x14ac:dyDescent="0.45">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row>
    <row r="177" spans="1:29" ht="15.75" customHeight="1" thickBot="1" x14ac:dyDescent="0.45">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row>
    <row r="178" spans="1:29" ht="15.75" customHeight="1" thickBot="1" x14ac:dyDescent="0.45">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row>
    <row r="179" spans="1:29" ht="15.75" customHeight="1" thickBot="1" x14ac:dyDescent="0.4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row>
    <row r="180" spans="1:29" ht="15.75" customHeight="1" thickBot="1" x14ac:dyDescent="0.45">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row>
    <row r="181" spans="1:29" ht="15.75" customHeight="1" thickBot="1" x14ac:dyDescent="0.45">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row>
    <row r="182" spans="1:29" ht="15.75" customHeight="1" thickBot="1" x14ac:dyDescent="0.45">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row>
    <row r="183" spans="1:29" ht="15.75" customHeight="1" thickBot="1" x14ac:dyDescent="0.45">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row>
    <row r="184" spans="1:29" ht="15.75" customHeight="1" thickBot="1" x14ac:dyDescent="0.45">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row>
    <row r="185" spans="1:29" ht="15.75" customHeight="1" thickBot="1" x14ac:dyDescent="0.45">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row>
    <row r="186" spans="1:29" ht="15.75" customHeight="1" thickBot="1" x14ac:dyDescent="0.45">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row>
    <row r="187" spans="1:29" ht="15.75" customHeight="1" thickBot="1" x14ac:dyDescent="0.45">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row>
    <row r="188" spans="1:29" ht="15.75" customHeight="1" thickBot="1" x14ac:dyDescent="0.45">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row>
    <row r="189" spans="1:29" ht="15.75" customHeight="1" thickBot="1" x14ac:dyDescent="0.45">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row>
    <row r="190" spans="1:29" ht="15.75" customHeight="1" thickBot="1" x14ac:dyDescent="0.45">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row>
    <row r="191" spans="1:29" ht="15.75" customHeight="1" thickBot="1" x14ac:dyDescent="0.45">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row>
    <row r="192" spans="1:29" ht="15.75" customHeight="1" thickBot="1" x14ac:dyDescent="0.45">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row>
    <row r="193" spans="1:29" ht="15.75" customHeight="1" thickBot="1" x14ac:dyDescent="0.45">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row>
    <row r="194" spans="1:29" ht="15.75" customHeight="1" thickBot="1" x14ac:dyDescent="0.45">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row>
    <row r="195" spans="1:29" ht="15.75" customHeight="1" thickBot="1" x14ac:dyDescent="0.45">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row>
    <row r="196" spans="1:29" ht="15.75" customHeight="1" thickBot="1" x14ac:dyDescent="0.45">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row>
    <row r="197" spans="1:29" ht="15.75" customHeight="1" thickBot="1" x14ac:dyDescent="0.45">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row>
    <row r="198" spans="1:29" ht="15.75" customHeight="1" thickBot="1" x14ac:dyDescent="0.45">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row>
    <row r="199" spans="1:29" ht="15.75" customHeight="1" thickBot="1" x14ac:dyDescent="0.45">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row>
    <row r="200" spans="1:29" ht="15.75" customHeight="1" thickBot="1" x14ac:dyDescent="0.45">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row>
    <row r="201" spans="1:29" ht="15.75" customHeight="1" thickBot="1" x14ac:dyDescent="0.45">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row>
    <row r="202" spans="1:29" ht="15.75" customHeight="1" thickBot="1" x14ac:dyDescent="0.45">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row>
    <row r="203" spans="1:29" ht="15.75" customHeight="1" thickBot="1" x14ac:dyDescent="0.45">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row>
    <row r="204" spans="1:29" ht="15.75" customHeight="1" thickBot="1" x14ac:dyDescent="0.45">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row>
    <row r="205" spans="1:29" ht="15.75" customHeight="1" thickBot="1" x14ac:dyDescent="0.45">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row>
    <row r="206" spans="1:29" ht="15.75" customHeight="1" thickBot="1" x14ac:dyDescent="0.45">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row>
    <row r="207" spans="1:29" ht="15.75" customHeight="1" thickBot="1" x14ac:dyDescent="0.45">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row>
    <row r="208" spans="1:29" ht="15.75" customHeight="1" thickBot="1" x14ac:dyDescent="0.45">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row>
    <row r="209" spans="1:29" ht="15.75" customHeight="1" thickBot="1" x14ac:dyDescent="0.45">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row>
    <row r="210" spans="1:29" ht="15.75" customHeight="1" thickBot="1" x14ac:dyDescent="0.45">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row>
    <row r="211" spans="1:29" ht="15.75" customHeight="1" thickBot="1" x14ac:dyDescent="0.45">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row>
    <row r="212" spans="1:29" ht="15.75" customHeight="1" thickBot="1" x14ac:dyDescent="0.45">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row>
    <row r="213" spans="1:29" ht="15.75" customHeight="1" thickBot="1" x14ac:dyDescent="0.45">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row>
    <row r="214" spans="1:29" ht="15.75" customHeight="1" thickBot="1" x14ac:dyDescent="0.45">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row>
    <row r="215" spans="1:29" ht="15.75" customHeight="1" thickBot="1" x14ac:dyDescent="0.45">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row>
    <row r="216" spans="1:29" ht="15.75" customHeight="1" thickBot="1" x14ac:dyDescent="0.45">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row>
    <row r="217" spans="1:29" ht="15.75" customHeight="1" thickBot="1" x14ac:dyDescent="0.45">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row>
    <row r="218" spans="1:29" ht="15.75" customHeight="1" thickBot="1" x14ac:dyDescent="0.45">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row>
    <row r="219" spans="1:29" ht="15.75" customHeight="1" thickBot="1" x14ac:dyDescent="0.45">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row>
    <row r="220" spans="1:29" ht="15.75" customHeight="1" thickBot="1" x14ac:dyDescent="0.45">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row>
    <row r="221" spans="1:29" ht="15.75" customHeight="1" thickBot="1" x14ac:dyDescent="0.45">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row>
    <row r="222" spans="1:29" ht="15.75" customHeight="1" thickBot="1" x14ac:dyDescent="0.45">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row>
    <row r="223" spans="1:29" ht="15.75" customHeight="1" thickBot="1" x14ac:dyDescent="0.45">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row>
    <row r="224" spans="1:29" ht="15.75" customHeight="1" thickBot="1" x14ac:dyDescent="0.45">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row>
    <row r="225" spans="1:29" ht="15.75" customHeight="1" thickBot="1" x14ac:dyDescent="0.45">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row>
    <row r="226" spans="1:29" ht="15.75" customHeight="1" thickBot="1" x14ac:dyDescent="0.45">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row>
    <row r="227" spans="1:29" ht="15.75" customHeight="1" thickBot="1" x14ac:dyDescent="0.45">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row>
    <row r="228" spans="1:29" ht="15.75" customHeight="1" thickBot="1" x14ac:dyDescent="0.45">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row>
    <row r="229" spans="1:29" ht="15.75" customHeight="1" thickBot="1" x14ac:dyDescent="0.45">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row>
    <row r="230" spans="1:29" ht="15.75" customHeight="1" thickBot="1" x14ac:dyDescent="0.45">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row>
    <row r="231" spans="1:29" ht="15.75" customHeight="1" thickBot="1" x14ac:dyDescent="0.45">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row>
    <row r="232" spans="1:29" ht="15.75" customHeight="1" thickBot="1" x14ac:dyDescent="0.45">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row>
    <row r="233" spans="1:29" ht="15.75" customHeight="1" thickBot="1" x14ac:dyDescent="0.45">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row>
    <row r="234" spans="1:29" ht="15.75" customHeight="1" thickBot="1" x14ac:dyDescent="0.45">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row>
    <row r="235" spans="1:29" ht="15.75" customHeight="1" thickBot="1" x14ac:dyDescent="0.45">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row>
    <row r="236" spans="1:29" ht="15.75" customHeight="1" thickBot="1" x14ac:dyDescent="0.45">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row>
    <row r="237" spans="1:29" ht="15.75" customHeight="1" thickBot="1" x14ac:dyDescent="0.45">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row>
    <row r="238" spans="1:29" ht="15.75" customHeight="1" thickBot="1" x14ac:dyDescent="0.45">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row>
    <row r="239" spans="1:29" ht="15.75" customHeight="1" thickBot="1" x14ac:dyDescent="0.45">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row>
    <row r="240" spans="1:29" ht="15.75" customHeight="1" thickBot="1" x14ac:dyDescent="0.4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row>
    <row r="241" spans="1:29" ht="15.75" customHeight="1" thickBot="1" x14ac:dyDescent="0.45">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row>
    <row r="242" spans="1:29" ht="15.75" customHeight="1" thickBot="1" x14ac:dyDescent="0.45">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row>
    <row r="243" spans="1:29" ht="15.75" customHeight="1" thickBot="1" x14ac:dyDescent="0.45">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row>
    <row r="244" spans="1:29" ht="15.75" customHeight="1" thickBot="1" x14ac:dyDescent="0.45">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row>
    <row r="245" spans="1:29" ht="15.75" customHeight="1" thickBot="1" x14ac:dyDescent="0.45">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row>
    <row r="246" spans="1:29" ht="15.75" customHeight="1" thickBot="1" x14ac:dyDescent="0.45">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row>
    <row r="247" spans="1:29" ht="15.75" customHeight="1" thickBot="1" x14ac:dyDescent="0.45">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row>
    <row r="248" spans="1:29" ht="15.75" customHeight="1" thickBot="1" x14ac:dyDescent="0.45">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row>
    <row r="249" spans="1:29" ht="15.75" customHeight="1" thickBot="1" x14ac:dyDescent="0.45">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row>
    <row r="250" spans="1:29" ht="15.75" customHeight="1" thickBot="1" x14ac:dyDescent="0.45">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row>
    <row r="251" spans="1:29" ht="15.75" customHeight="1" thickBot="1" x14ac:dyDescent="0.45">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row>
    <row r="252" spans="1:29" ht="15.75" customHeight="1" thickBot="1" x14ac:dyDescent="0.45">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row>
    <row r="253" spans="1:29" ht="15.75" customHeight="1" x14ac:dyDescent="0.4"/>
    <row r="254" spans="1:29" ht="15.75" customHeight="1" x14ac:dyDescent="0.4"/>
    <row r="255" spans="1:29" ht="15.75" customHeight="1" x14ac:dyDescent="0.4"/>
    <row r="256" spans="1:29"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row r="912" ht="15.75" customHeight="1" x14ac:dyDescent="0.4"/>
    <row r="913" ht="15.75" customHeight="1" x14ac:dyDescent="0.4"/>
    <row r="914" ht="15.75" customHeight="1" x14ac:dyDescent="0.4"/>
    <row r="915" ht="15.75" customHeight="1" x14ac:dyDescent="0.4"/>
    <row r="916" ht="15.75" customHeight="1" x14ac:dyDescent="0.4"/>
    <row r="917" ht="15.75" customHeight="1" x14ac:dyDescent="0.4"/>
    <row r="918" ht="15.75" customHeight="1" x14ac:dyDescent="0.4"/>
    <row r="919" ht="15.75" customHeight="1" x14ac:dyDescent="0.4"/>
    <row r="920" ht="15.75" customHeight="1" x14ac:dyDescent="0.4"/>
    <row r="921" ht="15.75" customHeight="1" x14ac:dyDescent="0.4"/>
    <row r="922" ht="15.75" customHeight="1" x14ac:dyDescent="0.4"/>
    <row r="923" ht="15.75" customHeight="1" x14ac:dyDescent="0.4"/>
    <row r="924" ht="15.75" customHeight="1" x14ac:dyDescent="0.4"/>
    <row r="925" ht="15.75" customHeight="1" x14ac:dyDescent="0.4"/>
    <row r="926" ht="15.75" customHeight="1" x14ac:dyDescent="0.4"/>
    <row r="927" ht="15.75" customHeight="1" x14ac:dyDescent="0.4"/>
    <row r="928" ht="15.75" customHeight="1" x14ac:dyDescent="0.4"/>
    <row r="929" ht="15.75" customHeight="1" x14ac:dyDescent="0.4"/>
    <row r="930" ht="15.75" customHeight="1" x14ac:dyDescent="0.4"/>
    <row r="931" ht="15.75" customHeight="1" x14ac:dyDescent="0.4"/>
    <row r="932" ht="15.75" customHeight="1" x14ac:dyDescent="0.4"/>
    <row r="933" ht="15.75" customHeight="1" x14ac:dyDescent="0.4"/>
    <row r="934" ht="15.75" customHeight="1" x14ac:dyDescent="0.4"/>
    <row r="935" ht="15.75" customHeight="1" x14ac:dyDescent="0.4"/>
    <row r="936" ht="15.75" customHeight="1" x14ac:dyDescent="0.4"/>
    <row r="937" ht="15.75" customHeight="1" x14ac:dyDescent="0.4"/>
    <row r="938" ht="15.75" customHeight="1" x14ac:dyDescent="0.4"/>
    <row r="939" ht="15.75" customHeight="1" x14ac:dyDescent="0.4"/>
    <row r="940" ht="15.75" customHeight="1" x14ac:dyDescent="0.4"/>
    <row r="941" ht="15.75" customHeight="1" x14ac:dyDescent="0.4"/>
    <row r="942" ht="15.75" customHeight="1" x14ac:dyDescent="0.4"/>
    <row r="943" ht="15.75" customHeight="1" x14ac:dyDescent="0.4"/>
    <row r="944" ht="15.75" customHeight="1" x14ac:dyDescent="0.4"/>
    <row r="945" ht="15.75" customHeight="1" x14ac:dyDescent="0.4"/>
    <row r="946" ht="15.75" customHeight="1" x14ac:dyDescent="0.4"/>
    <row r="947" ht="15.75" customHeight="1" x14ac:dyDescent="0.4"/>
    <row r="948" ht="15.75" customHeight="1" x14ac:dyDescent="0.4"/>
    <row r="949" ht="15.75" customHeight="1" x14ac:dyDescent="0.4"/>
    <row r="950" ht="15.75" customHeight="1" x14ac:dyDescent="0.4"/>
    <row r="951" ht="15.75" customHeight="1" x14ac:dyDescent="0.4"/>
    <row r="952" ht="15.75" customHeight="1" x14ac:dyDescent="0.4"/>
    <row r="953" ht="15.75" customHeight="1" x14ac:dyDescent="0.4"/>
    <row r="954" ht="15.75" customHeight="1" x14ac:dyDescent="0.4"/>
    <row r="955" ht="15.75" customHeight="1" x14ac:dyDescent="0.4"/>
    <row r="956" ht="15.75" customHeight="1" x14ac:dyDescent="0.4"/>
    <row r="957" ht="15.75" customHeight="1" x14ac:dyDescent="0.4"/>
    <row r="958" ht="15.75" customHeight="1" x14ac:dyDescent="0.4"/>
    <row r="959" ht="15.75" customHeight="1" x14ac:dyDescent="0.4"/>
    <row r="960" ht="15.75" customHeight="1" x14ac:dyDescent="0.4"/>
    <row r="961" ht="15.75" customHeight="1" x14ac:dyDescent="0.4"/>
    <row r="962" ht="15.75" customHeight="1" x14ac:dyDescent="0.4"/>
    <row r="963" ht="15.75" customHeight="1" x14ac:dyDescent="0.4"/>
    <row r="964" ht="15.75" customHeight="1" x14ac:dyDescent="0.4"/>
    <row r="965" ht="15.75" customHeight="1" x14ac:dyDescent="0.4"/>
    <row r="966" ht="15.75" customHeight="1" x14ac:dyDescent="0.4"/>
    <row r="967" ht="15.75" customHeight="1" x14ac:dyDescent="0.4"/>
    <row r="968" ht="15.75" customHeight="1" x14ac:dyDescent="0.4"/>
    <row r="969" ht="15.75" customHeight="1" x14ac:dyDescent="0.4"/>
    <row r="970" ht="15.75" customHeight="1" x14ac:dyDescent="0.4"/>
    <row r="971" ht="15.75" customHeight="1" x14ac:dyDescent="0.4"/>
    <row r="972" ht="15.75" customHeight="1" x14ac:dyDescent="0.4"/>
    <row r="973" ht="15.75" customHeight="1" x14ac:dyDescent="0.4"/>
    <row r="974" ht="15.75" customHeight="1" x14ac:dyDescent="0.4"/>
    <row r="975" ht="15.75" customHeight="1" x14ac:dyDescent="0.4"/>
    <row r="976" ht="15.75" customHeight="1" x14ac:dyDescent="0.4"/>
    <row r="977" ht="15.75" customHeight="1" x14ac:dyDescent="0.4"/>
    <row r="978" ht="15.75" customHeight="1" x14ac:dyDescent="0.4"/>
    <row r="979" ht="15.75" customHeight="1" x14ac:dyDescent="0.4"/>
    <row r="980" ht="15.75" customHeight="1" x14ac:dyDescent="0.4"/>
    <row r="981" ht="15.75" customHeight="1" x14ac:dyDescent="0.4"/>
    <row r="982" ht="15.75" customHeight="1" x14ac:dyDescent="0.4"/>
    <row r="983" ht="15.75" customHeight="1" x14ac:dyDescent="0.4"/>
    <row r="984" ht="15.75" customHeight="1" x14ac:dyDescent="0.4"/>
    <row r="985" ht="15.75" customHeight="1" x14ac:dyDescent="0.4"/>
    <row r="986" ht="15.75" customHeight="1" x14ac:dyDescent="0.4"/>
    <row r="987" ht="15.75" customHeight="1" x14ac:dyDescent="0.4"/>
    <row r="988" ht="15.75" customHeight="1" x14ac:dyDescent="0.4"/>
    <row r="989" ht="15.75" customHeight="1" x14ac:dyDescent="0.4"/>
    <row r="990" ht="15.75" customHeight="1" x14ac:dyDescent="0.4"/>
    <row r="991" ht="15.75" customHeight="1" x14ac:dyDescent="0.4"/>
    <row r="992" ht="15.75" customHeight="1" x14ac:dyDescent="0.4"/>
    <row r="993" ht="15.75" customHeight="1" x14ac:dyDescent="0.4"/>
    <row r="994" ht="15.75" customHeight="1" x14ac:dyDescent="0.4"/>
    <row r="995" ht="15.75" customHeight="1" x14ac:dyDescent="0.4"/>
    <row r="996" ht="15.75" customHeight="1" x14ac:dyDescent="0.4"/>
    <row r="997" ht="15.75" customHeight="1" x14ac:dyDescent="0.4"/>
    <row r="998" ht="15.75" customHeight="1" x14ac:dyDescent="0.4"/>
    <row r="999" ht="15.75" customHeight="1" x14ac:dyDescent="0.4"/>
    <row r="1000" ht="15.75" customHeight="1" x14ac:dyDescent="0.4"/>
  </sheetData>
  <sheetProtection password="DEFC" sheet="1" objects="1" scenarios="1"/>
  <autoFilter ref="A2:AC53">
    <filterColumn colId="1" showButton="0"/>
  </autoFilter>
  <mergeCells count="10">
    <mergeCell ref="B31:C31"/>
    <mergeCell ref="B40:C40"/>
    <mergeCell ref="B47:C47"/>
    <mergeCell ref="B2:C2"/>
    <mergeCell ref="B3:C3"/>
    <mergeCell ref="B4:C4"/>
    <mergeCell ref="B5:C5"/>
    <mergeCell ref="B14:C14"/>
    <mergeCell ref="B22:C22"/>
    <mergeCell ref="B30:C30"/>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06"/>
  <sheetViews>
    <sheetView zoomScale="30" zoomScaleNormal="30" workbookViewId="0">
      <selection activeCell="D3" sqref="D3"/>
    </sheetView>
  </sheetViews>
  <sheetFormatPr baseColWidth="10" defaultColWidth="51.6640625" defaultRowHeight="14.4" x14ac:dyDescent="0.3"/>
  <cols>
    <col min="1" max="1" width="10.109375" customWidth="1"/>
    <col min="2" max="2" width="156.44140625" customWidth="1"/>
    <col min="3" max="3" width="29.33203125" style="17" customWidth="1"/>
    <col min="4" max="4" width="56.44140625" style="17" bestFit="1" customWidth="1"/>
    <col min="5" max="5" width="64" style="17" customWidth="1"/>
    <col min="6" max="6" width="55" style="17" customWidth="1"/>
    <col min="7" max="7" width="59.5546875" customWidth="1"/>
    <col min="8" max="9" width="57.6640625" customWidth="1"/>
    <col min="10" max="10" width="64.109375" customWidth="1"/>
    <col min="11" max="11" width="102.33203125" customWidth="1"/>
    <col min="12" max="12" width="72.6640625" bestFit="1" customWidth="1"/>
    <col min="13" max="13" width="72.6640625" customWidth="1"/>
    <col min="14" max="15" width="0" hidden="1" customWidth="1"/>
  </cols>
  <sheetData>
    <row r="1" spans="2:20" ht="31.2" customHeight="1" thickBot="1" x14ac:dyDescent="0.7">
      <c r="J1" s="825"/>
      <c r="K1" s="826"/>
    </row>
    <row r="2" spans="2:20" s="50" customFormat="1" ht="140.4" customHeight="1" thickBot="1" x14ac:dyDescent="0.4">
      <c r="B2" s="45"/>
      <c r="C2" s="57" t="s">
        <v>1161</v>
      </c>
      <c r="D2" s="46" t="s">
        <v>5</v>
      </c>
      <c r="E2" s="48" t="s">
        <v>1784</v>
      </c>
      <c r="F2" s="48" t="s">
        <v>1851</v>
      </c>
      <c r="G2" s="47" t="s">
        <v>6</v>
      </c>
      <c r="H2" s="583" t="s">
        <v>1785</v>
      </c>
      <c r="I2" s="48" t="s">
        <v>1884</v>
      </c>
      <c r="J2" s="114" t="s">
        <v>1773</v>
      </c>
      <c r="K2" s="48" t="s">
        <v>1885</v>
      </c>
      <c r="L2" s="47" t="s">
        <v>1774</v>
      </c>
      <c r="M2" s="583" t="s">
        <v>1886</v>
      </c>
      <c r="N2" s="49" t="s">
        <v>1158</v>
      </c>
      <c r="O2" s="49" t="s">
        <v>1157</v>
      </c>
    </row>
    <row r="3" spans="2:20" ht="193.2" customHeight="1" thickTop="1" thickBot="1" x14ac:dyDescent="1.1499999999999999">
      <c r="B3" s="51" t="s">
        <v>1159</v>
      </c>
      <c r="C3" s="44"/>
      <c r="D3" s="68">
        <f t="shared" ref="D3" si="0">+(D4+D46+D92+D123+D161+D198)/6</f>
        <v>0.24888231440455399</v>
      </c>
      <c r="E3" s="719">
        <f>+(E4+E46+E92+E123+E161+E198)/6</f>
        <v>0.29446456020987283</v>
      </c>
      <c r="F3" s="719">
        <f>+J3+E3</f>
        <v>0.49498673012151212</v>
      </c>
      <c r="G3" s="69">
        <f t="shared" ref="G3:L3" si="1">+(G4+G46+G92+G123+G161+G198)/6</f>
        <v>0.1793132482964562</v>
      </c>
      <c r="H3" s="69">
        <f t="shared" si="1"/>
        <v>0.25466066453510566</v>
      </c>
      <c r="I3" s="939">
        <f>+(I4+I46+I92+I123+I161+I198)/6</f>
        <v>0.61053809185039687</v>
      </c>
      <c r="J3" s="66">
        <f t="shared" si="1"/>
        <v>0.20052216991163929</v>
      </c>
      <c r="K3" s="865">
        <f t="shared" si="1"/>
        <v>0.38419748559584826</v>
      </c>
      <c r="L3" s="69">
        <f t="shared" si="1"/>
        <v>0.16598422822475797</v>
      </c>
      <c r="M3" s="69">
        <f>+(M4*C4)+(M46*C46)+(M92*C92)+(M123*C123)+(C161*M161)+(M198*C198)</f>
        <v>0.36713259803481907</v>
      </c>
      <c r="N3" s="41"/>
      <c r="O3" s="9"/>
      <c r="P3" s="21"/>
      <c r="S3" s="18">
        <v>697</v>
      </c>
      <c r="T3" s="783">
        <f>1/S3</f>
        <v>1.4347202295552368E-3</v>
      </c>
    </row>
    <row r="4" spans="2:20" ht="98.4" customHeight="1" thickTop="1" x14ac:dyDescent="0.55000000000000004">
      <c r="B4" s="42" t="str">
        <f>+'Seguridad Humana'!B3:C3</f>
        <v xml:space="preserve"> SEGURIDAD HUMANA
</v>
      </c>
      <c r="C4" s="1002">
        <v>0.3</v>
      </c>
      <c r="D4" s="27">
        <f>+'Seguridad Humana'!I3</f>
        <v>0.27144914611233045</v>
      </c>
      <c r="E4" s="27">
        <f>+'Seguridad Humana'!J3</f>
        <v>0.37391117816579211</v>
      </c>
      <c r="F4" s="27">
        <f t="shared" ref="F4:F67" si="2">+J4+E4</f>
        <v>0.62879210773800021</v>
      </c>
      <c r="G4" s="27">
        <f>+'Seguridad Humana'!K3</f>
        <v>0.1963447624265218</v>
      </c>
      <c r="H4" s="27">
        <f>+'Seguridad Humana'!L3</f>
        <v>0.2531166550657612</v>
      </c>
      <c r="I4" s="27">
        <f>+'Seguridad Humana'!U3</f>
        <v>0.60078987989606447</v>
      </c>
      <c r="J4" s="27">
        <f>+'Seguridad Humana'!X3</f>
        <v>0.25488092957220809</v>
      </c>
      <c r="K4" s="27">
        <f>+'Seguridad Humana'!Y3</f>
        <v>0.40925072197022161</v>
      </c>
      <c r="L4" s="43">
        <f>+'Seguridad Humana'!Z3</f>
        <v>0.21296825159703686</v>
      </c>
      <c r="M4" s="43">
        <f>+'Seguridad Humana'!AA3</f>
        <v>0.3816161125871384</v>
      </c>
      <c r="N4" s="26"/>
      <c r="O4" s="10"/>
      <c r="P4" s="789"/>
      <c r="T4" s="19"/>
    </row>
    <row r="5" spans="2:20" ht="70.95" customHeight="1" x14ac:dyDescent="0.7">
      <c r="B5" s="31" t="str">
        <f>+'Seguridad Humana'!B4:C4</f>
        <v xml:space="preserve"> Seguridad Ciudadana y Orden Público 
</v>
      </c>
      <c r="C5" s="1002"/>
      <c r="D5" s="22">
        <f t="shared" ref="D5" si="3">+(D6+D7+D8+D9+D10)/5</f>
        <v>0.40844696306703598</v>
      </c>
      <c r="E5" s="22">
        <f>+(E6+E7+E8+E9+E10)/5</f>
        <v>0.48443538520711044</v>
      </c>
      <c r="F5" s="22">
        <f>+J5+E5</f>
        <v>0.88476840343177321</v>
      </c>
      <c r="G5" s="23">
        <f>+(G6+G7+G8+G9+G10)/5</f>
        <v>0.35458117744760276</v>
      </c>
      <c r="H5" s="23">
        <f t="shared" ref="H5" si="4">+(H6+H7+H8+H9+H10)/5</f>
        <v>0.27871913155614692</v>
      </c>
      <c r="I5" s="713">
        <f>+(I6+I7+I8+I9+I10)/5</f>
        <v>0.59054246092300278</v>
      </c>
      <c r="J5" s="22">
        <f>+(J6+J7+J8+J9+J10)/5</f>
        <v>0.40033301822466277</v>
      </c>
      <c r="K5" s="22">
        <f>+(K6+K7+K8+K9+K10)/5</f>
        <v>0.57381929700987555</v>
      </c>
      <c r="L5" s="32">
        <f>+(L6+L7+L8+L9+L10)</f>
        <v>0.34369348640612268</v>
      </c>
      <c r="M5" s="32">
        <f>+'Seguridad Humana'!AA4</f>
        <v>0.49436346921130442</v>
      </c>
      <c r="N5" s="26"/>
      <c r="O5" s="10"/>
      <c r="P5" s="59"/>
      <c r="T5" s="12"/>
    </row>
    <row r="6" spans="2:20" ht="43.2" customHeight="1" x14ac:dyDescent="0.7">
      <c r="B6" s="33" t="str">
        <f>+'Seguridad Humana'!B5</f>
        <v xml:space="preserve"> PLAN ESTRATÉGICO DE SEGURIDAD INTEGRAL TITAN 24</v>
      </c>
      <c r="C6" s="1002"/>
      <c r="D6" s="13">
        <f>+'Seguridad Humana'!I5</f>
        <v>0.37666666666666665</v>
      </c>
      <c r="E6" s="13">
        <f>+'Seguridad Humana'!J5</f>
        <v>0.38750000000000001</v>
      </c>
      <c r="F6" s="13">
        <f t="shared" si="2"/>
        <v>0.6875</v>
      </c>
      <c r="G6" s="13">
        <f>+'Seguridad Humana'!K5</f>
        <v>0.26083333333333331</v>
      </c>
      <c r="H6" s="13">
        <f>+'Seguridad Humana'!L5</f>
        <v>0.17749999999999999</v>
      </c>
      <c r="I6" s="13">
        <f>+'Seguridad Humana'!U5</f>
        <v>0.6</v>
      </c>
      <c r="J6" s="13">
        <f>+'Seguridad Humana'!X5</f>
        <v>0.3</v>
      </c>
      <c r="K6" s="13">
        <f>+'Seguridad Humana'!Y5</f>
        <v>0.38</v>
      </c>
      <c r="L6" s="34">
        <f>+'Seguridad Humana'!Z5</f>
        <v>0.109375</v>
      </c>
      <c r="M6" s="34">
        <f>+'Seguridad Humana'!AA5</f>
        <v>0.36000000000000004</v>
      </c>
      <c r="N6" s="26"/>
      <c r="O6" s="10"/>
      <c r="P6" s="59"/>
    </row>
    <row r="7" spans="2:20" ht="28.2" customHeight="1" x14ac:dyDescent="0.7">
      <c r="B7" s="33" t="str">
        <f>+'Seguridad Humana'!B12:C12</f>
        <v>EL CUERPO DE BOMBEROS AVANZA</v>
      </c>
      <c r="C7" s="1002"/>
      <c r="D7" s="13">
        <f>+'Seguridad Humana'!I12</f>
        <v>0.66600000000000004</v>
      </c>
      <c r="E7" s="13">
        <f>+'Seguridad Humana'!J12</f>
        <v>1</v>
      </c>
      <c r="F7" s="13">
        <v>1</v>
      </c>
      <c r="G7" s="13">
        <f>+'Seguridad Humana'!K12</f>
        <v>0.35</v>
      </c>
      <c r="H7" s="13">
        <f>+'Seguridad Humana'!L12</f>
        <v>0.35</v>
      </c>
      <c r="I7" s="13">
        <f>+'Seguridad Humana'!U12</f>
        <v>0</v>
      </c>
      <c r="J7" s="13">
        <f>+'Seguridad Humana'!X12</f>
        <v>0.66600000000000004</v>
      </c>
      <c r="K7" s="669">
        <f>+'Seguridad Humana'!Y12</f>
        <v>0.66666666666666663</v>
      </c>
      <c r="L7" s="34">
        <f>+'Seguridad Humana'!Z12</f>
        <v>9.7499999999999989E-2</v>
      </c>
      <c r="M7" s="34">
        <f>+'Seguridad Humana'!AA12</f>
        <v>0.64999999999999991</v>
      </c>
      <c r="N7" s="26"/>
      <c r="O7" s="10"/>
      <c r="P7" s="59"/>
    </row>
    <row r="8" spans="2:20" ht="45" customHeight="1" x14ac:dyDescent="0.7">
      <c r="B8" s="33" t="str">
        <f>+'Seguridad Humana'!B16:C16</f>
        <v>SEGURIDAD YA CON DOTACIÓN A LOS ORGANISMOS DE SEGURIDAD, SOCORRO, JUSTICIA Y CONVIVENCIA Y TECNOLOGÍA PARA LA PREVENCIÓN</v>
      </c>
      <c r="C8" s="1002"/>
      <c r="D8" s="13">
        <f>+'Seguridad Humana'!I16</f>
        <v>0.21866537089073543</v>
      </c>
      <c r="E8" s="13">
        <f>+'Seguridad Humana'!J16</f>
        <v>0.52361748159110777</v>
      </c>
      <c r="F8" s="13">
        <f t="shared" si="2"/>
        <v>0.71259979493664383</v>
      </c>
      <c r="G8" s="13">
        <f>+'Seguridad Humana'!K16</f>
        <v>0.23116977612690295</v>
      </c>
      <c r="H8" s="13">
        <f>+'Seguridad Humana'!L16</f>
        <v>0.53003621333629014</v>
      </c>
      <c r="I8" s="13">
        <f>+'Seguridad Humana'!U16</f>
        <v>0.50896230461501368</v>
      </c>
      <c r="J8" s="60">
        <f>+'Seguridad Humana'!X16</f>
        <v>0.18898231334553608</v>
      </c>
      <c r="K8" s="13">
        <f>+'Seguridad Humana'!Y16</f>
        <v>0.52453954060493346</v>
      </c>
      <c r="L8" s="34">
        <f>+'Seguridad Humana'!Z16</f>
        <v>3.7150208628344908E-2</v>
      </c>
      <c r="M8" s="34">
        <f>+'Seguridad Humana'!AA16</f>
        <v>0.43691480477842215</v>
      </c>
      <c r="N8" s="26"/>
      <c r="O8" s="10"/>
      <c r="P8" s="59"/>
    </row>
    <row r="9" spans="2:20" ht="36" customHeight="1" x14ac:dyDescent="0.7">
      <c r="B9" s="33" t="str">
        <f>+'Seguridad Humana'!B23:C23</f>
        <v xml:space="preserve"> SEGURIDAD YA EN LAS PLAYAS DE CARTAGENA</v>
      </c>
      <c r="C9" s="1002"/>
      <c r="D9" s="13">
        <f>+'Seguridad Humana'!I23</f>
        <v>0.625</v>
      </c>
      <c r="E9" s="13">
        <f>+'Seguridad Humana'!J23</f>
        <v>0.25</v>
      </c>
      <c r="F9" s="13">
        <f t="shared" si="2"/>
        <v>0.875</v>
      </c>
      <c r="G9" s="60">
        <f>+'Seguridad Humana'!K23</f>
        <v>0.77499999999999991</v>
      </c>
      <c r="H9" s="13">
        <f>+'Seguridad Humana'!L23</f>
        <v>7.4999999999999997E-2</v>
      </c>
      <c r="I9" s="13">
        <f>+'Seguridad Humana'!U23</f>
        <v>1</v>
      </c>
      <c r="J9" s="13">
        <f>+'Seguridad Humana'!X23</f>
        <v>0.625</v>
      </c>
      <c r="K9" s="13">
        <f>+'Seguridad Humana'!Y23</f>
        <v>0.75</v>
      </c>
      <c r="L9" s="34">
        <f>+'Seguridad Humana'!Z23</f>
        <v>7.7499999999999999E-2</v>
      </c>
      <c r="M9" s="34">
        <f>+'Seguridad Humana'!AA23</f>
        <v>0.85</v>
      </c>
      <c r="N9" s="26"/>
      <c r="O9" s="10"/>
      <c r="P9" s="59"/>
    </row>
    <row r="10" spans="2:20" ht="48" customHeight="1" x14ac:dyDescent="0.7">
      <c r="B10" s="33" t="str">
        <f>+'Seguridad Humana'!B26:C26</f>
        <v xml:space="preserve"> EDUCACIÓN, CULTURA Y SEGURIDAD VIAL PARA AVANZAR</v>
      </c>
      <c r="C10" s="1002"/>
      <c r="D10" s="13">
        <f>+'Seguridad Humana'!I26</f>
        <v>0.15590277777777778</v>
      </c>
      <c r="E10" s="13">
        <f>+'Seguridad Humana'!J26</f>
        <v>0.26105944444444446</v>
      </c>
      <c r="F10" s="13">
        <f t="shared" si="2"/>
        <v>0.48274222222222224</v>
      </c>
      <c r="G10" s="13">
        <f>+'Seguridad Humana'!K26</f>
        <v>0.15590277777777778</v>
      </c>
      <c r="H10" s="13">
        <f>+'Seguridad Humana'!L26</f>
        <v>0.26105944444444446</v>
      </c>
      <c r="I10" s="13">
        <f>+'Seguridad Humana'!U26</f>
        <v>0.84375</v>
      </c>
      <c r="J10" s="13">
        <f>+'Seguridad Humana'!X26</f>
        <v>0.22168277777777778</v>
      </c>
      <c r="K10" s="13">
        <f>+'Seguridad Humana'!Y26</f>
        <v>0.54789027777777788</v>
      </c>
      <c r="L10" s="35">
        <f>+'Seguridad Humana'!Z26</f>
        <v>2.216827777777778E-2</v>
      </c>
      <c r="M10" s="35">
        <f>+'Seguridad Humana'!AA26</f>
        <v>0.54789027777777788</v>
      </c>
      <c r="N10" s="26"/>
      <c r="O10" s="10"/>
      <c r="P10" s="59"/>
    </row>
    <row r="11" spans="2:20" ht="99" customHeight="1" x14ac:dyDescent="0.7">
      <c r="B11" s="31" t="str">
        <f>+'Seguridad Humana'!B31:C31</f>
        <v xml:space="preserve">Construccion de paz, Derechos Humanos y Convivencia
</v>
      </c>
      <c r="C11" s="1002"/>
      <c r="D11" s="22">
        <f t="shared" ref="D11:G11" si="5">+(D12+D13+D14+D15+D16+D17+D18+D19)/8</f>
        <v>0.23923611111111112</v>
      </c>
      <c r="E11" s="22">
        <f t="shared" si="5"/>
        <v>0.33642940083979328</v>
      </c>
      <c r="F11" s="22">
        <f t="shared" si="2"/>
        <v>0.58684348701403577</v>
      </c>
      <c r="G11" s="23">
        <f t="shared" si="5"/>
        <v>0.16062499999999999</v>
      </c>
      <c r="H11" s="23">
        <f t="shared" ref="H11:I11" si="6">+(H12+H13+H14+H15+H16+H17+H18+H19)/8</f>
        <v>0.2766173449612403</v>
      </c>
      <c r="I11" s="22">
        <f t="shared" si="6"/>
        <v>0.65150808566433571</v>
      </c>
      <c r="J11" s="22">
        <f>+(J12+J13+J14+J15+J16+J17+J18+J19)/8</f>
        <v>0.25041408617424243</v>
      </c>
      <c r="K11" s="22">
        <f>+(K12+K13+K14+K15+K16+K17+K18+K19)/8</f>
        <v>0.43227876176633451</v>
      </c>
      <c r="L11" s="32">
        <f>+(L12+L13+L14+L15+L16+L17+L18+L19)</f>
        <v>0.19896443750000001</v>
      </c>
      <c r="M11" s="32">
        <f>+'Seguridad Humana'!AA31</f>
        <v>0.39974441860465121</v>
      </c>
      <c r="N11" s="26"/>
      <c r="O11" s="10"/>
      <c r="P11" s="59"/>
    </row>
    <row r="12" spans="2:20" ht="40.200000000000003" customHeight="1" x14ac:dyDescent="0.7">
      <c r="B12" s="33" t="str">
        <f>+'Seguridad Humana'!B32:C32</f>
        <v xml:space="preserve"> UNA VIDA LIBRE DE VIOLENCIA PARA LAS MUJERES</v>
      </c>
      <c r="C12" s="1002"/>
      <c r="D12" s="13">
        <f>+'Seguridad Humana'!I32</f>
        <v>0.17500000000000002</v>
      </c>
      <c r="E12" s="13">
        <f>+'Seguridad Humana'!J32</f>
        <v>0.25</v>
      </c>
      <c r="F12" s="13">
        <f t="shared" si="2"/>
        <v>0.61919999999999997</v>
      </c>
      <c r="G12" s="13">
        <f>+'Seguridad Humana'!K32</f>
        <v>0.1525</v>
      </c>
      <c r="H12" s="13">
        <f>+'Seguridad Humana'!L32</f>
        <v>0.245</v>
      </c>
      <c r="I12" s="13">
        <f>+'Seguridad Humana'!U32</f>
        <v>0.66666666666666663</v>
      </c>
      <c r="J12" s="13">
        <f>+'Seguridad Humana'!X32</f>
        <v>0.36919999999999997</v>
      </c>
      <c r="K12" s="13">
        <f>+'Seguridad Humana'!Y32</f>
        <v>0.58366666666666667</v>
      </c>
      <c r="L12" s="34">
        <f>+'Seguridad Humana'!Z32</f>
        <v>6.1731000000000001E-2</v>
      </c>
      <c r="M12" s="34">
        <f>+'Seguridad Humana'!AA32</f>
        <v>0.69990000000000008</v>
      </c>
      <c r="N12" s="26"/>
      <c r="O12" s="10"/>
      <c r="P12" s="59"/>
    </row>
    <row r="13" spans="2:20" ht="30" customHeight="1" x14ac:dyDescent="0.7">
      <c r="B13" s="33" t="str">
        <f>+'Seguridad Humana'!B36:C36</f>
        <v xml:space="preserve"> DERECHO A LA PAZ Y CONVIVENCIA CON EQUIDAD DE GÉNERO</v>
      </c>
      <c r="C13" s="1002"/>
      <c r="D13" s="13">
        <f>+'Seguridad Humana'!I36</f>
        <v>0.25</v>
      </c>
      <c r="E13" s="13">
        <f>+'Seguridad Humana'!J36</f>
        <v>0.21249999999999999</v>
      </c>
      <c r="F13" s="13">
        <f t="shared" si="2"/>
        <v>0.54749999999999999</v>
      </c>
      <c r="G13" s="13">
        <f>+'Seguridad Humana'!K36</f>
        <v>0.25</v>
      </c>
      <c r="H13" s="13">
        <f>+'Seguridad Humana'!L36</f>
        <v>0.19</v>
      </c>
      <c r="I13" s="13">
        <f>+'Seguridad Humana'!U36</f>
        <v>1</v>
      </c>
      <c r="J13" s="13">
        <f>+'Seguridad Humana'!X36</f>
        <v>0.33499999999999996</v>
      </c>
      <c r="K13" s="13">
        <f>+'Seguridad Humana'!Y36</f>
        <v>0.54749999999999999</v>
      </c>
      <c r="L13" s="34">
        <f>+'Seguridad Humana'!Z36</f>
        <v>3.8600000000000002E-2</v>
      </c>
      <c r="M13" s="34">
        <f>+'Seguridad Humana'!AA36</f>
        <v>0.57599999999999996</v>
      </c>
      <c r="N13" s="26"/>
      <c r="O13" s="10"/>
      <c r="P13" s="59"/>
    </row>
    <row r="14" spans="2:20" ht="28.2" customHeight="1" x14ac:dyDescent="0.7">
      <c r="B14" s="33" t="str">
        <f>+'Seguridad Humana'!B39:C39</f>
        <v>CARTAGENA AVANZA EN CONVIVENCIA</v>
      </c>
      <c r="C14" s="1002"/>
      <c r="D14" s="13">
        <f>+'Seguridad Humana'!I39</f>
        <v>0.18333333333333335</v>
      </c>
      <c r="E14" s="13">
        <f>+'Seguridad Humana'!J39</f>
        <v>0.3520833333333333</v>
      </c>
      <c r="F14" s="13">
        <f t="shared" si="2"/>
        <v>0.62291666666666667</v>
      </c>
      <c r="G14" s="13">
        <f>+'Seguridad Humana'!K39</f>
        <v>0.18333333333333335</v>
      </c>
      <c r="H14" s="13">
        <f>+'Seguridad Humana'!L39</f>
        <v>0.31458333333333333</v>
      </c>
      <c r="I14" s="13">
        <f>+'Seguridad Humana'!U39</f>
        <v>0.6</v>
      </c>
      <c r="J14" s="13">
        <f>+'Seguridad Humana'!X39</f>
        <v>0.27083333333333337</v>
      </c>
      <c r="K14" s="13">
        <f>+'Seguridad Humana'!Y39</f>
        <v>0.5</v>
      </c>
      <c r="L14" s="34">
        <f>+'Seguridad Humana'!Z39</f>
        <v>3.6874999999999998E-2</v>
      </c>
      <c r="M14" s="34">
        <f>+'Seguridad Humana'!AA39</f>
        <v>0.47499999999999998</v>
      </c>
      <c r="N14" s="26"/>
      <c r="O14" s="10"/>
      <c r="P14" s="59"/>
    </row>
    <row r="15" spans="2:20" ht="69" customHeight="1" x14ac:dyDescent="0.7">
      <c r="B15" s="33" t="str">
        <f>+'Seguridad Humana'!B44:C44</f>
        <v xml:space="preserve"> AVANZANDO EN EL FORTALECIMIENTO DE CASAS DE JUSTICIA, COMISARÍAS DE FAMILIA E INSPECCIONES DE POLICÍA</v>
      </c>
      <c r="C15" s="1002"/>
      <c r="D15" s="13">
        <f>+'Seguridad Humana'!I44</f>
        <v>0.30555555555555552</v>
      </c>
      <c r="E15" s="13">
        <f>+'Seguridad Humana'!J44</f>
        <v>0.6347222222222223</v>
      </c>
      <c r="F15" s="13">
        <f t="shared" si="2"/>
        <v>0.71805555555555567</v>
      </c>
      <c r="G15" s="13">
        <f>+'Seguridad Humana'!K44</f>
        <v>0.16666666666666666</v>
      </c>
      <c r="H15" s="13">
        <f>+'Seguridad Humana'!L44</f>
        <v>0.53083333333333338</v>
      </c>
      <c r="I15" s="13">
        <f>+'Seguridad Humana'!U44</f>
        <v>0.41666666666666669</v>
      </c>
      <c r="J15" s="13">
        <f>+'Seguridad Humana'!X44</f>
        <v>8.3333333333333329E-2</v>
      </c>
      <c r="K15" s="13">
        <f>+'Seguridad Humana'!Y44</f>
        <v>0.31845238095238093</v>
      </c>
      <c r="L15" s="34">
        <f>+'Seguridad Humana'!Z44</f>
        <v>3.7499999999999999E-3</v>
      </c>
      <c r="M15" s="34">
        <f>+'Seguridad Humana'!AA44</f>
        <v>0.18958333333333335</v>
      </c>
      <c r="N15" s="26"/>
      <c r="O15" s="10"/>
      <c r="P15" s="59"/>
    </row>
    <row r="16" spans="2:20" ht="46.2" customHeight="1" x14ac:dyDescent="0.7">
      <c r="B16" s="33" t="str">
        <f>+'Seguridad Humana'!B52:C52</f>
        <v xml:space="preserve"> ATENCIÓN INTEGRAL A JÓVENES EN SITUACIÓN DE RIESGO SOCIAL</v>
      </c>
      <c r="C16" s="1002"/>
      <c r="D16" s="13">
        <f>+'Seguridad Humana'!I52</f>
        <v>0.25</v>
      </c>
      <c r="E16" s="13">
        <f>+'Seguridad Humana'!J52</f>
        <v>0.32750000000000001</v>
      </c>
      <c r="F16" s="13">
        <f t="shared" si="2"/>
        <v>0.58950000000000002</v>
      </c>
      <c r="G16" s="13">
        <f>+'Seguridad Humana'!K52</f>
        <v>0.125</v>
      </c>
      <c r="H16" s="13">
        <f>+'Seguridad Humana'!L52</f>
        <v>0.32750000000000001</v>
      </c>
      <c r="I16" s="13">
        <f>+'Seguridad Humana'!U52</f>
        <v>0.5</v>
      </c>
      <c r="J16" s="13">
        <f>+'Seguridad Humana'!X52</f>
        <v>0.26200000000000001</v>
      </c>
      <c r="K16" s="13">
        <f>+'Seguridad Humana'!Y52</f>
        <v>0.37680000000000002</v>
      </c>
      <c r="L16" s="34">
        <f>+'Seguridad Humana'!Z52</f>
        <v>1.9650000000000001E-2</v>
      </c>
      <c r="M16" s="34">
        <f>+'Seguridad Humana'!AA52</f>
        <v>0.37680000000000002</v>
      </c>
      <c r="N16" s="26"/>
      <c r="O16" s="10"/>
      <c r="P16" s="59"/>
    </row>
    <row r="17" spans="2:16" ht="45" customHeight="1" x14ac:dyDescent="0.7">
      <c r="B17" s="33" t="str">
        <f>+'Seguridad Humana'!B57:C57</f>
        <v>ASISTENCIA, ATENCIÓN Y REPARACIÓN EFECTIVA E INTEGRAL A LAS VÍCTIMAS DEL CONFLICTO ARMADO</v>
      </c>
      <c r="C17" s="1002"/>
      <c r="D17" s="13">
        <f>+'Seguridad Humana'!I57</f>
        <v>0.25</v>
      </c>
      <c r="E17" s="13">
        <f>+'Seguridad Humana'!J57</f>
        <v>0.29290000000000005</v>
      </c>
      <c r="F17" s="13">
        <f t="shared" si="2"/>
        <v>0.52662727272727272</v>
      </c>
      <c r="G17" s="13">
        <f>+'Seguridad Humana'!K57</f>
        <v>0.14500000000000005</v>
      </c>
      <c r="H17" s="13">
        <f>+'Seguridad Humana'!L57</f>
        <v>0.14290000000000003</v>
      </c>
      <c r="I17" s="13">
        <f>+'Seguridad Humana'!U57</f>
        <v>0.77698135198135199</v>
      </c>
      <c r="J17" s="13">
        <f>+'Seguridad Humana'!X57</f>
        <v>0.2337272727272727</v>
      </c>
      <c r="K17" s="13">
        <f>+'Seguridad Humana'!Y57</f>
        <v>0.41512500000000002</v>
      </c>
      <c r="L17" s="34">
        <f>+'Seguridad Humana'!Z57</f>
        <v>1.2710000000000006E-2</v>
      </c>
      <c r="M17" s="34">
        <f>+'Seguridad Humana'!AA57</f>
        <v>0.24250000000000005</v>
      </c>
      <c r="N17" s="26"/>
      <c r="O17" s="10"/>
      <c r="P17" s="59"/>
    </row>
    <row r="18" spans="2:16" ht="46.2" customHeight="1" x14ac:dyDescent="0.7">
      <c r="B18" s="33" t="str">
        <f>+'Seguridad Humana'!B77:C77</f>
        <v>DERECHOS HUMANOS PARA LA VIDA DIGNA</v>
      </c>
      <c r="C18" s="1002"/>
      <c r="D18" s="13">
        <f>+'Seguridad Humana'!I77</f>
        <v>0.25</v>
      </c>
      <c r="E18" s="13">
        <f>+'Seguridad Humana'!J77</f>
        <v>0.37172965116279072</v>
      </c>
      <c r="F18" s="13">
        <f t="shared" si="2"/>
        <v>0.57094840116279078</v>
      </c>
      <c r="G18" s="13">
        <f>+'Seguridad Humana'!K77</f>
        <v>0.13750000000000001</v>
      </c>
      <c r="H18" s="13">
        <f>+'Seguridad Humana'!L77</f>
        <v>0.33712209302325585</v>
      </c>
      <c r="I18" s="13">
        <f>+'Seguridad Humana'!U77</f>
        <v>0.75175000000000003</v>
      </c>
      <c r="J18" s="13">
        <f>+'Seguridad Humana'!X77</f>
        <v>0.19921875</v>
      </c>
      <c r="K18" s="13">
        <f>+'Seguridad Humana'!Y77</f>
        <v>0.38335271317829456</v>
      </c>
      <c r="L18" s="34">
        <f>+'Seguridad Humana'!Z77</f>
        <v>1.3148437499999999E-2</v>
      </c>
      <c r="M18" s="34">
        <f>+'Seguridad Humana'!AA77</f>
        <v>0.37951918604651158</v>
      </c>
      <c r="N18" s="26"/>
      <c r="O18" s="10"/>
      <c r="P18" s="59"/>
    </row>
    <row r="19" spans="2:16" ht="44.4" customHeight="1" x14ac:dyDescent="0.7">
      <c r="B19" s="33" t="str">
        <f>+'Seguridad Humana'!B87:C87</f>
        <v>SISTEMA PENITENCIARIO Y CARCELARIO EN EL MARCO DE LOS DERECHOS HUMANOS</v>
      </c>
      <c r="C19" s="1002"/>
      <c r="D19" s="13">
        <f>+'Seguridad Humana'!I87</f>
        <v>0.25</v>
      </c>
      <c r="E19" s="13">
        <f>+'Seguridad Humana'!J87</f>
        <v>0.25</v>
      </c>
      <c r="F19" s="13">
        <f t="shared" si="2"/>
        <v>0.5</v>
      </c>
      <c r="G19" s="13">
        <f>+'Seguridad Humana'!K87</f>
        <v>0.125</v>
      </c>
      <c r="H19" s="13">
        <f>+'Seguridad Humana'!L87</f>
        <v>0.125</v>
      </c>
      <c r="I19" s="13">
        <f>+'Seguridad Humana'!U87</f>
        <v>0.5</v>
      </c>
      <c r="J19" s="13">
        <f>+'Seguridad Humana'!X87</f>
        <v>0.25</v>
      </c>
      <c r="K19" s="13">
        <f>+'Seguridad Humana'!Y87</f>
        <v>0.33333333333333331</v>
      </c>
      <c r="L19" s="34">
        <f>+'Seguridad Humana'!Z87</f>
        <v>1.2500000000000001E-2</v>
      </c>
      <c r="M19" s="34">
        <f>+'Seguridad Humana'!AA87</f>
        <v>0.1875</v>
      </c>
      <c r="N19" s="26"/>
      <c r="O19" s="10"/>
      <c r="P19" s="59"/>
    </row>
    <row r="20" spans="2:16" ht="88.95" customHeight="1" x14ac:dyDescent="0.7">
      <c r="B20" s="31" t="str">
        <f>+'Seguridad Humana'!B91:C91</f>
        <v xml:space="preserve"> Salud Pública y Aseguramiento
</v>
      </c>
      <c r="C20" s="1002"/>
      <c r="D20" s="22">
        <f t="shared" ref="D20:G20" si="7">+(D21+D22+D23+D24+D25)/5</f>
        <v>0.23229102167182664</v>
      </c>
      <c r="E20" s="22">
        <f t="shared" si="7"/>
        <v>0.33879772961816307</v>
      </c>
      <c r="F20" s="22">
        <f t="shared" si="2"/>
        <v>0.54395347999674115</v>
      </c>
      <c r="G20" s="23">
        <f t="shared" si="7"/>
        <v>0.15700735294117646</v>
      </c>
      <c r="H20" s="23">
        <f t="shared" ref="H20" si="8">+(H21+H22+H23+H24+H25)/5</f>
        <v>0.37183088235294115</v>
      </c>
      <c r="I20" s="22">
        <f>+(I21+I22+I23+I24+I25)/5</f>
        <v>0.692089697454354</v>
      </c>
      <c r="J20" s="22">
        <f>+(J21+J22+J23+J24+J25)/5</f>
        <v>0.20515575037857808</v>
      </c>
      <c r="K20" s="22">
        <f>+(K21+K22+K23+K24+K25)/5</f>
        <v>0.35188322978172631</v>
      </c>
      <c r="L20" s="32">
        <f>+(L21+L22+L23+L24+L25)</f>
        <v>0.19010083782604881</v>
      </c>
      <c r="M20" s="32">
        <f>+'Seguridad Humana'!AA91</f>
        <v>0.33948558524552075</v>
      </c>
      <c r="N20" s="26"/>
      <c r="O20" s="10"/>
      <c r="P20" s="59"/>
    </row>
    <row r="21" spans="2:16" ht="54" customHeight="1" x14ac:dyDescent="0.7">
      <c r="B21" s="33" t="str">
        <f>+'Seguridad Humana'!B92:C92</f>
        <v xml:space="preserve"> SALUD CON COBERTURA, ACCESIBILIDAD, CALIDAD E INCLUSIÓN</v>
      </c>
      <c r="C21" s="1002"/>
      <c r="D21" s="13">
        <f>+'Seguridad Humana'!I92</f>
        <v>0.25</v>
      </c>
      <c r="E21" s="13">
        <f>+'Seguridad Humana'!J92</f>
        <v>0.29166666666666669</v>
      </c>
      <c r="F21" s="13">
        <f t="shared" si="2"/>
        <v>0.50460164873866309</v>
      </c>
      <c r="G21" s="13">
        <f>+'Seguridad Humana'!K92</f>
        <v>0.16250000000000003</v>
      </c>
      <c r="H21" s="13">
        <f>+'Seguridad Humana'!L92</f>
        <v>0.33750000000000002</v>
      </c>
      <c r="I21" s="13">
        <f>+'Seguridad Humana'!U92</f>
        <v>0.67991397849462365</v>
      </c>
      <c r="J21" s="13">
        <f>+'Seguridad Humana'!X92</f>
        <v>0.21293498207199635</v>
      </c>
      <c r="K21" s="13">
        <f>+'Seguridad Humana'!Y92</f>
        <v>0.38569125447343006</v>
      </c>
      <c r="L21" s="34">
        <f>+'Seguridad Humana'!Z92</f>
        <v>5.944380429531565E-2</v>
      </c>
      <c r="M21" s="34">
        <f>+'Seguridad Humana'!AA92</f>
        <v>0.2953413225641891</v>
      </c>
      <c r="N21" s="26"/>
      <c r="O21" s="10"/>
      <c r="P21" s="59"/>
    </row>
    <row r="22" spans="2:16" ht="31.2" customHeight="1" x14ac:dyDescent="0.7">
      <c r="B22" s="33" t="s">
        <v>1536</v>
      </c>
      <c r="C22" s="1002"/>
      <c r="D22" s="13">
        <f>+'Seguridad Humana'!I99</f>
        <v>0.17499999999999999</v>
      </c>
      <c r="E22" s="13">
        <f>+'Seguridad Humana'!J99</f>
        <v>0.27500000000000002</v>
      </c>
      <c r="F22" s="13">
        <f t="shared" si="2"/>
        <v>0.47331666666666672</v>
      </c>
      <c r="G22" s="13">
        <f>+'Seguridad Humana'!K99</f>
        <v>0.19</v>
      </c>
      <c r="H22" s="13">
        <f>+'Seguridad Humana'!L99</f>
        <v>0.27</v>
      </c>
      <c r="I22" s="13">
        <f>+'Seguridad Humana'!U99</f>
        <v>0.68403333333333327</v>
      </c>
      <c r="J22" s="13">
        <f>+'Seguridad Humana'!X99</f>
        <v>0.19831666666666667</v>
      </c>
      <c r="K22" s="13">
        <f>+'Seguridad Humana'!Y99</f>
        <v>0.38683333333333336</v>
      </c>
      <c r="L22" s="34">
        <f>+'Seguridad Humana'!Z99</f>
        <v>2.1048000000000001E-2</v>
      </c>
      <c r="M22" s="34">
        <f>+'Seguridad Humana'!AA99</f>
        <v>0.39468000000000003</v>
      </c>
      <c r="N22" s="26"/>
      <c r="O22" s="10"/>
      <c r="P22" s="59"/>
    </row>
    <row r="23" spans="2:16" ht="70.2" customHeight="1" x14ac:dyDescent="0.7">
      <c r="B23" s="33" t="s">
        <v>1537</v>
      </c>
      <c r="C23" s="1002"/>
      <c r="D23" s="13">
        <f>+'Seguridad Humana'!I102</f>
        <v>0.25</v>
      </c>
      <c r="E23" s="13">
        <f>+'Seguridad Humana'!J102</f>
        <v>0.625</v>
      </c>
      <c r="F23" s="13">
        <f t="shared" si="2"/>
        <v>0.74137931034482762</v>
      </c>
      <c r="G23" s="13">
        <f>+'Seguridad Humana'!K102</f>
        <v>0.05</v>
      </c>
      <c r="H23" s="13">
        <f>+'Seguridad Humana'!L102</f>
        <v>0.85000000000000009</v>
      </c>
      <c r="I23" s="13">
        <f>+'Seguridad Humana'!U102</f>
        <v>0.5</v>
      </c>
      <c r="J23" s="13">
        <f>+'Seguridad Humana'!X102</f>
        <v>0.11637931034482758</v>
      </c>
      <c r="K23" s="13">
        <f>+'Seguridad Humana'!Y102</f>
        <v>0.2413793103448276</v>
      </c>
      <c r="L23" s="34">
        <f>+'Seguridad Humana'!Z102</f>
        <v>4.6551724137931039E-3</v>
      </c>
      <c r="M23" s="34">
        <f>+'Seguridad Humana'!AA102</f>
        <v>9.6551724137931047E-2</v>
      </c>
      <c r="N23" s="26"/>
      <c r="O23" s="10"/>
      <c r="P23" s="59"/>
    </row>
    <row r="24" spans="2:16" ht="28.95" customHeight="1" x14ac:dyDescent="0.7">
      <c r="B24" s="33" t="s">
        <v>1558</v>
      </c>
      <c r="C24" s="1002"/>
      <c r="D24" s="13">
        <f>+'Seguridad Humana'!I105</f>
        <v>0.23645510835913311</v>
      </c>
      <c r="E24" s="13">
        <f>+'Seguridad Humana'!J105</f>
        <v>0.25232198142414858</v>
      </c>
      <c r="F24" s="13">
        <f t="shared" si="2"/>
        <v>0.50046977423354821</v>
      </c>
      <c r="G24" s="13">
        <f>+'Seguridad Humana'!K105</f>
        <v>0.2325367647058823</v>
      </c>
      <c r="H24" s="13">
        <f>+'Seguridad Humana'!L105</f>
        <v>0.25165441176470582</v>
      </c>
      <c r="I24" s="13">
        <f>+'Seguridad Humana'!U105</f>
        <v>0.6965011754438134</v>
      </c>
      <c r="J24" s="13">
        <f>+'Seguridad Humana'!X105</f>
        <v>0.24814779280939966</v>
      </c>
      <c r="K24" s="13">
        <f>+'Seguridad Humana'!Y105</f>
        <v>0.43926225075704034</v>
      </c>
      <c r="L24" s="34">
        <f>+'Seguridad Humana'!Z105</f>
        <v>9.7453861116940044E-2</v>
      </c>
      <c r="M24" s="34">
        <f>+'Seguridad Humana'!AA105</f>
        <v>0.43185737483565367</v>
      </c>
      <c r="N24" s="26"/>
      <c r="O24" s="10"/>
      <c r="P24" s="59"/>
    </row>
    <row r="25" spans="2:16" ht="46.2" customHeight="1" x14ac:dyDescent="0.7">
      <c r="B25" s="33" t="s">
        <v>1559</v>
      </c>
      <c r="C25" s="1002"/>
      <c r="D25" s="13">
        <f>+'Seguridad Humana'!I125</f>
        <v>0.25</v>
      </c>
      <c r="E25" s="13">
        <f>+'Seguridad Humana'!J125</f>
        <v>0.25</v>
      </c>
      <c r="F25" s="13">
        <f t="shared" si="2"/>
        <v>0.5</v>
      </c>
      <c r="G25" s="13">
        <f>+'Seguridad Humana'!K125</f>
        <v>0.15</v>
      </c>
      <c r="H25" s="13">
        <f>+'Seguridad Humana'!L125</f>
        <v>0.15</v>
      </c>
      <c r="I25" s="13">
        <f>+'Seguridad Humana'!U125</f>
        <v>0.9</v>
      </c>
      <c r="J25" s="13">
        <f>+'Seguridad Humana'!X125</f>
        <v>0.25</v>
      </c>
      <c r="K25" s="13">
        <f>+'Seguridad Humana'!Y125</f>
        <v>0.30625000000000002</v>
      </c>
      <c r="L25" s="34">
        <f>+'Seguridad Humana'!Z125</f>
        <v>7.4999999999999997E-3</v>
      </c>
      <c r="M25" s="34">
        <f>+'Seguridad Humana'!AA125</f>
        <v>0.28499999999999998</v>
      </c>
      <c r="N25" s="26"/>
      <c r="O25" s="10"/>
      <c r="P25" s="59"/>
    </row>
    <row r="26" spans="2:16" ht="78.599999999999994" customHeight="1" x14ac:dyDescent="0.7">
      <c r="B26" s="31" t="str">
        <f>+'Seguridad Humana'!B130:C130</f>
        <v xml:space="preserve">Atención Integral a Grupos de Especial Protección
</v>
      </c>
      <c r="C26" s="1002"/>
      <c r="D26" s="22">
        <f>+(D27+D28+D29+D30+D31+D32+D33)/6</f>
        <v>0.3193759495300631</v>
      </c>
      <c r="E26" s="22">
        <f>+(E27+E28+E29+E30+E31+E32+E33)/7</f>
        <v>0.36067241266804129</v>
      </c>
      <c r="F26" s="22">
        <f t="shared" si="2"/>
        <v>0.6068847164726574</v>
      </c>
      <c r="G26" s="23">
        <f>+(G27+G28+G29+G30+G31+G32+G33)/6</f>
        <v>0.17451004248744692</v>
      </c>
      <c r="H26" s="23">
        <f>+(H27+H28+H29+H30+H31+H32+H33)/7</f>
        <v>0.31558347607692649</v>
      </c>
      <c r="I26" s="22">
        <f>+(I27+I28+I29+I30+I31+I32+I33)/7</f>
        <v>0.45380696450620084</v>
      </c>
      <c r="J26" s="22">
        <f>+(J27+J28+J29+J30+J31+J32+J33)/6</f>
        <v>0.24621230380461609</v>
      </c>
      <c r="K26" s="22">
        <f>+(K27+K28+K29+K30+K31+K32+K33)/6</f>
        <v>0.38625429968367647</v>
      </c>
      <c r="L26" s="32">
        <f>+(L27+L28+L29+L30+L31+L32+L33)</f>
        <v>0.18458001541682623</v>
      </c>
      <c r="M26" s="32">
        <f>+'Seguridad Humana'!AA130</f>
        <v>0.31243562115032475</v>
      </c>
      <c r="N26" s="26"/>
      <c r="O26" s="10"/>
      <c r="P26" s="59"/>
    </row>
    <row r="27" spans="2:16" ht="42.6" customHeight="1" x14ac:dyDescent="0.7">
      <c r="B27" s="33" t="s">
        <v>1540</v>
      </c>
      <c r="C27" s="1002"/>
      <c r="D27" s="13">
        <f>+'Seguridad Humana'!I131</f>
        <v>0.33333333333333331</v>
      </c>
      <c r="E27" s="13">
        <f>+'Seguridad Humana'!J131</f>
        <v>0.39999999999999997</v>
      </c>
      <c r="F27" s="13">
        <f t="shared" si="2"/>
        <v>0.62653274519154345</v>
      </c>
      <c r="G27" s="13">
        <f>+'Seguridad Humana'!K131</f>
        <v>0.21750000000000003</v>
      </c>
      <c r="H27" s="13">
        <f>+'Seguridad Humana'!L131</f>
        <v>0.21250000000000002</v>
      </c>
      <c r="I27" s="13">
        <f>+'Seguridad Humana'!U131</f>
        <v>0.42201470519759476</v>
      </c>
      <c r="J27" s="13">
        <f>+'Seguridad Humana'!X131</f>
        <v>0.22653274519154346</v>
      </c>
      <c r="K27" s="13">
        <f>+'Seguridad Humana'!Y131</f>
        <v>0.35596527565563141</v>
      </c>
      <c r="L27" s="34">
        <f>+'Seguridad Humana'!Z131</f>
        <v>3.155922746781116E-2</v>
      </c>
      <c r="M27" s="34">
        <f>+'Seguridad Humana'!AA131</f>
        <v>0.24759583078675776</v>
      </c>
      <c r="N27" s="26"/>
      <c r="O27" s="10"/>
      <c r="P27" s="59"/>
    </row>
    <row r="28" spans="2:16" ht="81" customHeight="1" x14ac:dyDescent="0.7">
      <c r="B28" s="33" t="s">
        <v>1541</v>
      </c>
      <c r="C28" s="1002"/>
      <c r="D28" s="13">
        <f>+'Seguridad Humana'!I140</f>
        <v>0.23392236384704518</v>
      </c>
      <c r="E28" s="13">
        <f>+'Seguridad Humana'!J140</f>
        <v>0.25535921205098494</v>
      </c>
      <c r="F28" s="13">
        <f t="shared" si="2"/>
        <v>0.39325028968713793</v>
      </c>
      <c r="G28" s="13">
        <f>+'Seguridad Humana'!K140</f>
        <v>0.22106025492468134</v>
      </c>
      <c r="H28" s="13">
        <f>+'Seguridad Humana'!L140</f>
        <v>0.2596465816917729</v>
      </c>
      <c r="I28" s="13">
        <f>+'Seguridad Humana'!U140</f>
        <v>0.26500000000000001</v>
      </c>
      <c r="J28" s="13">
        <f>+'Seguridad Humana'!X140</f>
        <v>0.13789107763615296</v>
      </c>
      <c r="K28" s="13">
        <f>+'Seguridad Humana'!Y140</f>
        <v>0.20698146002317497</v>
      </c>
      <c r="L28" s="34">
        <f>+'Seguridad Humana'!Z140</f>
        <v>4.9640787949015074E-2</v>
      </c>
      <c r="M28" s="34">
        <f>+'Seguridad Humana'!AA140</f>
        <v>0.37256662804171498</v>
      </c>
      <c r="N28" s="26"/>
      <c r="O28" s="10"/>
      <c r="P28" s="59"/>
    </row>
    <row r="29" spans="2:16" ht="51" customHeight="1" x14ac:dyDescent="0.7">
      <c r="B29" s="33" t="s">
        <v>1542</v>
      </c>
      <c r="C29" s="1002"/>
      <c r="D29" s="13">
        <f>+'Seguridad Humana'!I143</f>
        <v>0.25</v>
      </c>
      <c r="E29" s="13">
        <f>+'Seguridad Humana'!J143</f>
        <v>0.27083333333333337</v>
      </c>
      <c r="F29" s="13">
        <f t="shared" si="2"/>
        <v>0.47375</v>
      </c>
      <c r="G29" s="13">
        <f>+'Seguridad Humana'!K143</f>
        <v>0.25</v>
      </c>
      <c r="H29" s="13">
        <f>+'Seguridad Humana'!L143</f>
        <v>0.28000000000000003</v>
      </c>
      <c r="I29" s="13">
        <f>+'Seguridad Humana'!U143</f>
        <v>0.24117647058823527</v>
      </c>
      <c r="J29" s="13">
        <f>+'Seguridad Humana'!X143</f>
        <v>0.20291666666666666</v>
      </c>
      <c r="K29" s="13">
        <f>+'Seguridad Humana'!Y143</f>
        <v>0.26958333333333334</v>
      </c>
      <c r="L29" s="34">
        <f>+'Seguridad Humana'!Z143</f>
        <v>1.9800000000000002E-2</v>
      </c>
      <c r="M29" s="34">
        <f>+'Seguridad Humana'!AA143</f>
        <v>0.27300000000000002</v>
      </c>
      <c r="N29" s="26"/>
      <c r="O29" s="10"/>
      <c r="P29" s="59"/>
    </row>
    <row r="30" spans="2:16" ht="41.4" customHeight="1" x14ac:dyDescent="0.7">
      <c r="B30" s="33" t="s">
        <v>1543</v>
      </c>
      <c r="C30" s="1002"/>
      <c r="D30" s="13">
        <f>+'Seguridad Humana'!I148</f>
        <v>0.25</v>
      </c>
      <c r="E30" s="13">
        <f>+'Seguridad Humana'!J148</f>
        <v>0.22500000000000001</v>
      </c>
      <c r="F30" s="13">
        <f t="shared" si="2"/>
        <v>0.63333333333333341</v>
      </c>
      <c r="G30" s="13">
        <f>+'Seguridad Humana'!K148</f>
        <v>0.15000000000000002</v>
      </c>
      <c r="H30" s="13">
        <f>+'Seguridad Humana'!L148</f>
        <v>0.20374999999999999</v>
      </c>
      <c r="I30" s="13">
        <f>+'Seguridad Humana'!U148</f>
        <v>0.84659090909090906</v>
      </c>
      <c r="J30" s="13">
        <f>+'Seguridad Humana'!X148</f>
        <v>0.40833333333333338</v>
      </c>
      <c r="K30" s="13">
        <f>+'Seguridad Humana'!Y148</f>
        <v>0.50937500000000002</v>
      </c>
      <c r="L30" s="34">
        <f>+'Seguridad Humana'!Z148</f>
        <v>4.4250000000000005E-2</v>
      </c>
      <c r="M30" s="34">
        <f>+'Seguridad Humana'!AA148</f>
        <v>0.41500000000000004</v>
      </c>
      <c r="N30" s="26"/>
      <c r="O30" s="10"/>
      <c r="P30" s="59"/>
    </row>
    <row r="31" spans="2:16" ht="40.950000000000003" customHeight="1" x14ac:dyDescent="0.7">
      <c r="B31" s="33" t="s">
        <v>1560</v>
      </c>
      <c r="C31" s="1002"/>
      <c r="D31" s="13">
        <f>+'Seguridad Humana'!I153</f>
        <v>0.625</v>
      </c>
      <c r="E31" s="13">
        <f>+'Seguridad Humana'!J153</f>
        <v>0.45611434329197087</v>
      </c>
      <c r="F31" s="13">
        <f t="shared" si="2"/>
        <v>0.70611434329197087</v>
      </c>
      <c r="G31" s="13">
        <f>+'Seguridad Humana'!K153</f>
        <v>6.25E-2</v>
      </c>
      <c r="H31" s="13">
        <f>+'Seguridad Humana'!L153</f>
        <v>0.36258775084671224</v>
      </c>
      <c r="I31" s="13">
        <f>+'Seguridad Humana'!U153</f>
        <v>0.68520000000000003</v>
      </c>
      <c r="J31" s="13">
        <f>+'Seguridad Humana'!X153</f>
        <v>0.25</v>
      </c>
      <c r="K31" s="13">
        <f>+'Seguridad Humana'!Y153</f>
        <v>0.42372072908991898</v>
      </c>
      <c r="L31" s="34">
        <f>+'Seguridad Humana'!Z153</f>
        <v>1.2500000000000002E-3</v>
      </c>
      <c r="M31" s="34">
        <f>+'Seguridad Humana'!AA153</f>
        <v>0.3036625876926034</v>
      </c>
      <c r="N31" s="26"/>
      <c r="O31" s="10"/>
      <c r="P31" s="59"/>
    </row>
    <row r="32" spans="2:16" ht="28.95" customHeight="1" x14ac:dyDescent="0.7">
      <c r="B32" s="33" t="s">
        <v>1561</v>
      </c>
      <c r="C32" s="1002"/>
      <c r="D32" s="13">
        <f>+'Seguridad Humana'!I160</f>
        <v>0.22400000000000003</v>
      </c>
      <c r="E32" s="13">
        <f>+'Seguridad Humana'!J160</f>
        <v>0.29239999999999999</v>
      </c>
      <c r="F32" s="13">
        <f t="shared" si="2"/>
        <v>0.54400000000000004</v>
      </c>
      <c r="G32" s="13">
        <f>+'Seguridad Humana'!K160</f>
        <v>0.14599999999999999</v>
      </c>
      <c r="H32" s="13">
        <f>+'Seguridad Humana'!L160</f>
        <v>0.2656</v>
      </c>
      <c r="I32" s="13">
        <f>+'Seguridad Humana'!U160</f>
        <v>0.36666666666666664</v>
      </c>
      <c r="J32" s="13">
        <f>+'Seguridad Humana'!X160</f>
        <v>0.25159999999999999</v>
      </c>
      <c r="K32" s="13">
        <f>+'Seguridad Humana'!Y160</f>
        <v>0.38940000000000002</v>
      </c>
      <c r="L32" s="34">
        <f>+'Seguridad Humana'!Z160</f>
        <v>3.8080000000000003E-2</v>
      </c>
      <c r="M32" s="34">
        <f>+'Seguridad Humana'!AA160</f>
        <v>0.27210000000000001</v>
      </c>
      <c r="N32" s="26"/>
      <c r="O32" s="10"/>
      <c r="P32" s="59"/>
    </row>
    <row r="33" spans="2:16" ht="39.6" customHeight="1" x14ac:dyDescent="0.7">
      <c r="B33" s="33" t="s">
        <v>1562</v>
      </c>
      <c r="C33" s="1002"/>
      <c r="D33" s="13">
        <f>+'Seguridad Humana'!I166</f>
        <v>0</v>
      </c>
      <c r="E33" s="13">
        <f>+'Seguridad Humana'!J166</f>
        <v>0.625</v>
      </c>
      <c r="F33" s="13">
        <f t="shared" si="2"/>
        <v>0.625</v>
      </c>
      <c r="G33" s="13">
        <f>+'Seguridad Humana'!K166</f>
        <v>0</v>
      </c>
      <c r="H33" s="13">
        <f>+'Seguridad Humana'!L166</f>
        <v>0.625</v>
      </c>
      <c r="I33" s="13">
        <f>+'Seguridad Humana'!U166</f>
        <v>0.35</v>
      </c>
      <c r="J33" s="13">
        <f>+'Seguridad Humana'!X166</f>
        <v>0</v>
      </c>
      <c r="K33" s="13">
        <f>+'Seguridad Humana'!Y166</f>
        <v>0.16250000000000001</v>
      </c>
      <c r="L33" s="34">
        <f>+'Seguridad Humana'!Z166</f>
        <v>0</v>
      </c>
      <c r="M33" s="34">
        <f>+'Seguridad Humana'!AA166</f>
        <v>0.16999999999999998</v>
      </c>
      <c r="N33" s="26"/>
      <c r="O33" s="10"/>
      <c r="P33" s="59"/>
    </row>
    <row r="34" spans="2:16" ht="88.95" customHeight="1" x14ac:dyDescent="0.7">
      <c r="B34" s="31" t="str">
        <f>+'Seguridad Humana'!B171:C171</f>
        <v xml:space="preserve">Superación de la pobreza extrema y soberanía alimentaria
</v>
      </c>
      <c r="C34" s="1002"/>
      <c r="D34" s="22">
        <f t="shared" ref="D34:G34" si="9">+(D35+D36+D37+D38+D39+D40+D41+D42+D43+D44+D45)/11</f>
        <v>0.15789568518161531</v>
      </c>
      <c r="E34" s="22">
        <f t="shared" si="9"/>
        <v>0.31747360226895655</v>
      </c>
      <c r="F34" s="22">
        <f t="shared" si="2"/>
        <v>0.48976309154789766</v>
      </c>
      <c r="G34" s="23">
        <f t="shared" si="9"/>
        <v>0.13500023925638274</v>
      </c>
      <c r="H34" s="23">
        <f t="shared" ref="H34:I34" si="10">+(H35+H36+H37+H38+H39+H40+H41+H42+H43+H44+H45)/11</f>
        <v>0.29944978534279126</v>
      </c>
      <c r="I34" s="22">
        <f t="shared" si="10"/>
        <v>0.61600219093242936</v>
      </c>
      <c r="J34" s="22">
        <f>+(J35+J36+J37+J38+J39+J40+J41+J42+J43+J44+J45)/11</f>
        <v>0.17228948927894114</v>
      </c>
      <c r="K34" s="22">
        <f>+(K35+K36+K37+K38+K39+K40+K41+K42+K43+K44+K45)/11</f>
        <v>0.35719720727859189</v>
      </c>
      <c r="L34" s="32">
        <f>+(L35+L36+L37+L38+L39+L40+L41+L42+L43+L44+L45)</f>
        <v>0.14750248083618644</v>
      </c>
      <c r="M34" s="32">
        <f>+'Seguridad Humana'!AA171</f>
        <v>0.35812002413417321</v>
      </c>
      <c r="N34" s="26"/>
      <c r="O34" s="10"/>
      <c r="P34" s="59"/>
    </row>
    <row r="35" spans="2:16" ht="61.95" customHeight="1" x14ac:dyDescent="0.7">
      <c r="B35" s="33" t="s">
        <v>1547</v>
      </c>
      <c r="C35" s="1002"/>
      <c r="D35" s="13">
        <f>+'Seguridad Humana'!I172</f>
        <v>0.125</v>
      </c>
      <c r="E35" s="13">
        <f>+'Seguridad Humana'!J172</f>
        <v>0.33096590909090906</v>
      </c>
      <c r="F35" s="13">
        <f t="shared" si="2"/>
        <v>0.49196590909090909</v>
      </c>
      <c r="G35" s="13">
        <f>+'Seguridad Humana'!K172</f>
        <v>8.7499999999999994E-2</v>
      </c>
      <c r="H35" s="13">
        <f>+'Seguridad Humana'!L172</f>
        <v>0.33607954545454544</v>
      </c>
      <c r="I35" s="13">
        <f>+'Seguridad Humana'!U172</f>
        <v>0.63763636363636367</v>
      </c>
      <c r="J35" s="13">
        <f>+'Seguridad Humana'!X172</f>
        <v>0.161</v>
      </c>
      <c r="K35" s="13">
        <f>+'Seguridad Humana'!Y172</f>
        <v>0.28946022727272724</v>
      </c>
      <c r="L35" s="34">
        <f>+'Seguridad Humana'!Z172</f>
        <v>5.6350000000000003E-3</v>
      </c>
      <c r="M35" s="34">
        <f>+'Seguridad Humana'!AA172</f>
        <v>0.30342613636363636</v>
      </c>
      <c r="N35" s="26"/>
      <c r="O35" s="10"/>
      <c r="P35" s="59"/>
    </row>
    <row r="36" spans="2:16" ht="45" customHeight="1" x14ac:dyDescent="0.7">
      <c r="B36" s="33" t="s">
        <v>1548</v>
      </c>
      <c r="C36" s="1002"/>
      <c r="D36" s="13">
        <f>+'Seguridad Humana'!I175</f>
        <v>0.30833333333333335</v>
      </c>
      <c r="E36" s="13">
        <f>+'Seguridad Humana'!J175</f>
        <v>0.48893333333333339</v>
      </c>
      <c r="F36" s="13">
        <f t="shared" si="2"/>
        <v>0.87200833333333339</v>
      </c>
      <c r="G36" s="13">
        <f>+'Seguridad Humana'!K175</f>
        <v>0.20500000000000002</v>
      </c>
      <c r="H36" s="13">
        <f>+'Seguridad Humana'!L175</f>
        <v>0.46671999999999997</v>
      </c>
      <c r="I36" s="13">
        <f>+'Seguridad Humana'!U175</f>
        <v>0.92228885557221396</v>
      </c>
      <c r="J36" s="13">
        <f>+'Seguridad Humana'!X175</f>
        <v>0.383075</v>
      </c>
      <c r="K36" s="13">
        <f>+'Seguridad Humana'!Y175</f>
        <v>0.73288888888888881</v>
      </c>
      <c r="L36" s="34">
        <f>+'Seguridad Humana'!Z175</f>
        <v>2.6718500000000003E-2</v>
      </c>
      <c r="M36" s="34">
        <f>+'Seguridad Humana'!AA175</f>
        <v>0.71740000000000004</v>
      </c>
      <c r="N36" s="26"/>
      <c r="O36" s="10"/>
      <c r="P36" s="59"/>
    </row>
    <row r="37" spans="2:16" ht="30.6" customHeight="1" x14ac:dyDescent="0.7">
      <c r="B37" s="33" t="s">
        <v>1563</v>
      </c>
      <c r="C37" s="1002"/>
      <c r="D37" s="13">
        <f>+'Seguridad Humana'!I179</f>
        <v>0.1752103260310604</v>
      </c>
      <c r="E37" s="13">
        <f>+'Seguridad Humana'!J179</f>
        <v>0.31178031471767975</v>
      </c>
      <c r="F37" s="13">
        <f t="shared" si="2"/>
        <v>0.42014576416743804</v>
      </c>
      <c r="G37" s="13">
        <f>+'Seguridad Humana'!K179</f>
        <v>0.17445397511056257</v>
      </c>
      <c r="H37" s="13">
        <f>+'Seguridad Humana'!L179</f>
        <v>0.31513853748842946</v>
      </c>
      <c r="I37" s="13">
        <f>+'Seguridad Humana'!U179</f>
        <v>0.58317916666666669</v>
      </c>
      <c r="J37" s="13">
        <f>+'Seguridad Humana'!X179</f>
        <v>0.1083654494497583</v>
      </c>
      <c r="K37" s="13">
        <f>+'Seguridad Humana'!Y179</f>
        <v>0.3062008176488738</v>
      </c>
      <c r="L37" s="34">
        <f>+'Seguridad Humana'!Z179</f>
        <v>1.2047093098837808E-2</v>
      </c>
      <c r="M37" s="34">
        <f>+'Seguridad Humana'!AA179</f>
        <v>0.33523208269052762</v>
      </c>
      <c r="N37" s="26"/>
      <c r="O37" s="10"/>
      <c r="P37" s="59"/>
    </row>
    <row r="38" spans="2:16" ht="34.200000000000003" customHeight="1" x14ac:dyDescent="0.7">
      <c r="B38" s="33" t="s">
        <v>1564</v>
      </c>
      <c r="C38" s="1002"/>
      <c r="D38" s="13">
        <f>+'Seguridad Humana'!I184</f>
        <v>4.2000000000000003E-2</v>
      </c>
      <c r="E38" s="13">
        <f>+'Seguridad Humana'!J184</f>
        <v>0.33</v>
      </c>
      <c r="F38" s="13">
        <f t="shared" si="2"/>
        <v>0.33</v>
      </c>
      <c r="G38" s="13">
        <f>+'Seguridad Humana'!K184</f>
        <v>4.2000000000000003E-2</v>
      </c>
      <c r="H38" s="13">
        <f>+'Seguridad Humana'!L184</f>
        <v>0.33</v>
      </c>
      <c r="I38" s="13">
        <f>+'Seguridad Humana'!U184</f>
        <v>0.40424242424242424</v>
      </c>
      <c r="J38" s="13">
        <f>+'Seguridad Humana'!X184</f>
        <v>0</v>
      </c>
      <c r="K38" s="13">
        <f>+'Seguridad Humana'!Y184</f>
        <v>0.13339999999999999</v>
      </c>
      <c r="L38" s="34">
        <f>+'Seguridad Humana'!Z184</f>
        <v>0</v>
      </c>
      <c r="M38" s="34">
        <f>+'Seguridad Humana'!AA184</f>
        <v>0.13339999999999999</v>
      </c>
      <c r="N38" s="26"/>
      <c r="O38" s="10"/>
      <c r="P38" s="59"/>
    </row>
    <row r="39" spans="2:16" ht="53.4" customHeight="1" x14ac:dyDescent="0.7">
      <c r="B39" s="33" t="s">
        <v>1565</v>
      </c>
      <c r="C39" s="1002"/>
      <c r="D39" s="13">
        <f>+'Seguridad Humana'!I186</f>
        <v>0.13873355263157894</v>
      </c>
      <c r="E39" s="13">
        <f>+'Seguridad Humana'!J186</f>
        <v>0.30382894736842103</v>
      </c>
      <c r="F39" s="13">
        <f t="shared" si="2"/>
        <v>0.48595970394736843</v>
      </c>
      <c r="G39" s="13">
        <f>+'Seguridad Humana'!K186</f>
        <v>0.11001315789473685</v>
      </c>
      <c r="H39" s="13">
        <f>+'Seguridad Humana'!L186</f>
        <v>0.30417105263157895</v>
      </c>
      <c r="I39" s="13">
        <f>+'Seguridad Humana'!U186</f>
        <v>0.35677817998994465</v>
      </c>
      <c r="J39" s="13">
        <f>+'Seguridad Humana'!X186</f>
        <v>0.18213075657894739</v>
      </c>
      <c r="K39" s="13">
        <f>+'Seguridad Humana'!Y186</f>
        <v>0.25138552631578948</v>
      </c>
      <c r="L39" s="34">
        <f>+'Seguridad Humana'!Z186</f>
        <v>1.4271164473684213E-2</v>
      </c>
      <c r="M39" s="34">
        <f>+'Seguridad Humana'!AA186</f>
        <v>0.25191197368421053</v>
      </c>
      <c r="N39" s="26"/>
      <c r="O39" s="10"/>
      <c r="P39" s="59"/>
    </row>
    <row r="40" spans="2:16" ht="33" customHeight="1" x14ac:dyDescent="0.7">
      <c r="B40" s="33" t="s">
        <v>1552</v>
      </c>
      <c r="C40" s="1002"/>
      <c r="D40" s="13">
        <f>+'Seguridad Humana'!I192</f>
        <v>1.2500000000000001E-2</v>
      </c>
      <c r="E40" s="13">
        <f>+'Seguridad Humana'!J192</f>
        <v>0.31666666666666665</v>
      </c>
      <c r="F40" s="13">
        <f t="shared" si="2"/>
        <v>0.32916666666666666</v>
      </c>
      <c r="G40" s="13">
        <f>+'Seguridad Humana'!K192</f>
        <v>3.7499999999999999E-3</v>
      </c>
      <c r="H40" s="13">
        <f>+'Seguridad Humana'!L192</f>
        <v>0.32333333333333331</v>
      </c>
      <c r="I40" s="13">
        <f>+'Seguridad Humana'!U192</f>
        <v>0.17841666666666667</v>
      </c>
      <c r="J40" s="13">
        <f>+'Seguridad Humana'!X192</f>
        <v>1.2500000000000001E-2</v>
      </c>
      <c r="K40" s="13">
        <f>+'Seguridad Humana'!Y192</f>
        <v>2.9925E-2</v>
      </c>
      <c r="L40" s="34">
        <f>+'Seguridad Humana'!Z192</f>
        <v>3.7500000000000001E-4</v>
      </c>
      <c r="M40" s="34">
        <f>+'Seguridad Humana'!AA192</f>
        <v>1.7954999999999999E-2</v>
      </c>
      <c r="N40" s="26"/>
      <c r="O40" s="10"/>
      <c r="P40" s="59"/>
    </row>
    <row r="41" spans="2:16" ht="53.4" customHeight="1" x14ac:dyDescent="0.7">
      <c r="B41" s="33" t="s">
        <v>1553</v>
      </c>
      <c r="C41" s="1002"/>
      <c r="D41" s="13">
        <f>+'Seguridad Humana'!I195</f>
        <v>0.19771672771672774</v>
      </c>
      <c r="E41" s="13">
        <f>+'Seguridad Humana'!J195</f>
        <v>0.28894993894993898</v>
      </c>
      <c r="F41" s="13">
        <f t="shared" si="2"/>
        <v>0.4896703296703297</v>
      </c>
      <c r="G41" s="13">
        <f>+'Seguridad Humana'!K195</f>
        <v>0.19857509157509157</v>
      </c>
      <c r="H41" s="13">
        <f>+'Seguridad Humana'!L195</f>
        <v>0.29342490842490843</v>
      </c>
      <c r="I41" s="13">
        <f>+'Seguridad Humana'!U195</f>
        <v>0.89629629629629637</v>
      </c>
      <c r="J41" s="13">
        <f>+'Seguridad Humana'!X195</f>
        <v>0.20072039072039072</v>
      </c>
      <c r="K41" s="13">
        <f>+'Seguridad Humana'!Y195</f>
        <v>0.51808302808302809</v>
      </c>
      <c r="L41" s="34">
        <f>+'Seguridad Humana'!Z195</f>
        <v>1.9708058608058607E-2</v>
      </c>
      <c r="M41" s="34">
        <f>+'Seguridad Humana'!AA195</f>
        <v>0.5611245421245421</v>
      </c>
      <c r="N41" s="26"/>
      <c r="O41" s="10"/>
      <c r="P41" s="59"/>
    </row>
    <row r="42" spans="2:16" ht="48.6" customHeight="1" x14ac:dyDescent="0.7">
      <c r="B42" s="33" t="s">
        <v>1554</v>
      </c>
      <c r="C42" s="1002"/>
      <c r="D42" s="13">
        <f>+'Seguridad Humana'!I199</f>
        <v>0.14374999999999999</v>
      </c>
      <c r="E42" s="13">
        <f>+'Seguridad Humana'!J199</f>
        <v>0.36074640522875817</v>
      </c>
      <c r="F42" s="13">
        <f t="shared" si="2"/>
        <v>0.61816307189542485</v>
      </c>
      <c r="G42" s="13">
        <f>+'Seguridad Humana'!K199</f>
        <v>6.7500000000000004E-2</v>
      </c>
      <c r="H42" s="13">
        <f>+'Seguridad Humana'!L199</f>
        <v>0.36927960784313729</v>
      </c>
      <c r="I42" s="13">
        <f>+'Seguridad Humana'!U199</f>
        <v>0.49242424242424243</v>
      </c>
      <c r="J42" s="13">
        <f>+'Seguridad Humana'!X199</f>
        <v>0.25741666666666668</v>
      </c>
      <c r="K42" s="13">
        <f>+'Seguridad Humana'!Y199</f>
        <v>0.41432843137254904</v>
      </c>
      <c r="L42" s="34">
        <f>+'Seguridad Humana'!Z199</f>
        <v>1.4611666666666665E-2</v>
      </c>
      <c r="M42" s="34">
        <f>+'Seguridad Humana'!AA199</f>
        <v>0.28373431372549018</v>
      </c>
      <c r="N42" s="26"/>
      <c r="O42" s="10"/>
      <c r="P42" s="59"/>
    </row>
    <row r="43" spans="2:16" ht="60.6" customHeight="1" x14ac:dyDescent="0.7">
      <c r="B43" s="33" t="s">
        <v>1566</v>
      </c>
      <c r="C43" s="1002"/>
      <c r="D43" s="13">
        <f>+'Seguridad Humana'!I203</f>
        <v>0.24264705882352941</v>
      </c>
      <c r="E43" s="13">
        <f>+'Seguridad Humana'!J203</f>
        <v>0.30147058823529416</v>
      </c>
      <c r="F43" s="13">
        <f t="shared" si="2"/>
        <v>0.54411764705882359</v>
      </c>
      <c r="G43" s="13">
        <f>+'Seguridad Humana'!K203</f>
        <v>0.24044117647058824</v>
      </c>
      <c r="H43" s="13">
        <f>+'Seguridad Humana'!L203</f>
        <v>0.31691176470588234</v>
      </c>
      <c r="I43" s="13">
        <f>+'Seguridad Humana'!U203</f>
        <v>1</v>
      </c>
      <c r="J43" s="13">
        <f>+'Seguridad Humana'!X203</f>
        <v>0.24264705882352941</v>
      </c>
      <c r="K43" s="13">
        <f>+'Seguridad Humana'!Y203</f>
        <v>0.57352941176470584</v>
      </c>
      <c r="L43" s="34">
        <f>+'Seguridad Humana'!Z203</f>
        <v>2.4044117647058827E-2</v>
      </c>
      <c r="M43" s="34">
        <f>+'Seguridad Humana'!AA203</f>
        <v>0.59558823529411775</v>
      </c>
      <c r="N43" s="26"/>
      <c r="O43" s="10"/>
      <c r="P43" s="59"/>
    </row>
    <row r="44" spans="2:16" ht="47.4" customHeight="1" x14ac:dyDescent="0.7">
      <c r="B44" s="33" t="s">
        <v>1557</v>
      </c>
      <c r="C44" s="1002"/>
      <c r="D44" s="13">
        <f>+'Seguridad Humana'!I206</f>
        <v>0.20833333333333331</v>
      </c>
      <c r="E44" s="13">
        <f>+'Seguridad Humana'!J206</f>
        <v>0.2361111111111111</v>
      </c>
      <c r="F44" s="13">
        <f t="shared" si="2"/>
        <v>0.34305555555555556</v>
      </c>
      <c r="G44" s="13">
        <f>+'Seguridad Humana'!K206</f>
        <v>0.2</v>
      </c>
      <c r="H44" s="13">
        <f>+'Seguridad Humana'!L206</f>
        <v>0.23888888888888887</v>
      </c>
      <c r="I44" s="13">
        <f>+'Seguridad Humana'!U206</f>
        <v>0.98333333333333339</v>
      </c>
      <c r="J44" s="13">
        <f>+'Seguridad Humana'!X206</f>
        <v>0.10694444444444444</v>
      </c>
      <c r="K44" s="13">
        <f>+'Seguridad Humana'!Y206</f>
        <v>0.34583333333333333</v>
      </c>
      <c r="L44" s="34">
        <f>+'Seguridad Humana'!Z206</f>
        <v>5.8611111111111112E-3</v>
      </c>
      <c r="M44" s="34">
        <f>+'Seguridad Humana'!AA206</f>
        <v>0.35666666666666669</v>
      </c>
      <c r="N44" s="26"/>
      <c r="O44" s="10"/>
      <c r="P44" s="59"/>
    </row>
    <row r="45" spans="2:16" ht="81" customHeight="1" x14ac:dyDescent="0.7">
      <c r="B45" s="36" t="s">
        <v>1556</v>
      </c>
      <c r="C45" s="1003"/>
      <c r="D45" s="37">
        <f>+'Seguridad Humana'!I209</f>
        <v>0.14262820512820512</v>
      </c>
      <c r="E45" s="37">
        <f>+'Seguridad Humana'!J209</f>
        <v>0.22275641025641027</v>
      </c>
      <c r="F45" s="37">
        <f t="shared" si="2"/>
        <v>0.46314102564102566</v>
      </c>
      <c r="G45" s="37">
        <f>+'Seguridad Humana'!K209</f>
        <v>0.15576923076923077</v>
      </c>
      <c r="H45" s="37">
        <f>+'Seguridad Humana'!L209</f>
        <v>0</v>
      </c>
      <c r="I45" s="37">
        <f>+'Seguridad Humana'!U209</f>
        <v>0.32142857142857145</v>
      </c>
      <c r="J45" s="37">
        <f>+'Seguridad Humana'!X209</f>
        <v>0.24038461538461539</v>
      </c>
      <c r="K45" s="37">
        <f>+'Seguridad Humana'!Y209</f>
        <v>0.33413461538461542</v>
      </c>
      <c r="L45" s="38">
        <f>+'Seguridad Humana'!Z209</f>
        <v>2.4230769230769233E-2</v>
      </c>
      <c r="M45" s="38">
        <f>+'Seguridad Humana'!AA209</f>
        <v>0.35480769230769232</v>
      </c>
      <c r="N45" s="26"/>
      <c r="O45" s="10"/>
      <c r="P45" s="59"/>
    </row>
    <row r="46" spans="2:16" ht="61.2" x14ac:dyDescent="0.7">
      <c r="B46" s="39" t="str">
        <f>+'Vida Digna'!B3:C3</f>
        <v xml:space="preserve"> VIDA DIGNA
</v>
      </c>
      <c r="C46" s="1004">
        <v>0.2</v>
      </c>
      <c r="D46" s="715">
        <f>+'Vida Digna'!I3</f>
        <v>0.25323854832043019</v>
      </c>
      <c r="E46" s="715">
        <f>+'Vida Digna'!J3</f>
        <v>0.29872026705958277</v>
      </c>
      <c r="F46" s="715">
        <f t="shared" si="2"/>
        <v>0.51473719808474006</v>
      </c>
      <c r="G46" s="715">
        <f>+'Vida Digna'!K3</f>
        <v>0.20215522261646302</v>
      </c>
      <c r="H46" s="715">
        <f>+'Vida Digna'!L3</f>
        <v>0.25366832876982387</v>
      </c>
      <c r="I46" s="715">
        <f>+'Vida Digna'!U3</f>
        <v>0.601365659411503</v>
      </c>
      <c r="J46" s="715">
        <f>+'Vida Digna'!X3</f>
        <v>0.21601693102515732</v>
      </c>
      <c r="K46" s="715">
        <f>+'Vida Digna'!Y3</f>
        <v>0.42235106158210151</v>
      </c>
      <c r="L46" s="716">
        <f>+'Vida Digna'!Z3</f>
        <v>0.17720527157842844</v>
      </c>
      <c r="M46" s="716">
        <f>+'Vida Digna'!AA3</f>
        <v>0.39733460395963061</v>
      </c>
      <c r="N46" s="26"/>
      <c r="O46" s="10"/>
      <c r="P46" s="59"/>
    </row>
    <row r="47" spans="2:16" ht="84.6" customHeight="1" x14ac:dyDescent="0.7">
      <c r="B47" s="31" t="str">
        <f>+'Vida Digna'!B4:C4</f>
        <v xml:space="preserve"> Educación
</v>
      </c>
      <c r="C47" s="1005"/>
      <c r="D47" s="22">
        <f>+(D48+D49+D50+D51+D52+D53+D54+D55+D56+D57+D58+D59+D60+D61+D62+D63)/15</f>
        <v>0.26981900399515463</v>
      </c>
      <c r="E47" s="22">
        <f>+(E48+E49+E50+E51+E52+E53+E54+E55+E56+E57+E58+E59+E60+E61+E62+E63)/16</f>
        <v>0.26016382169667063</v>
      </c>
      <c r="F47" s="22">
        <f t="shared" si="2"/>
        <v>0.47305009896863803</v>
      </c>
      <c r="G47" s="23">
        <f>+(G48+G49+G50+G51+G52+G53+G54+G55+G56+G57+G58+G59+G60+G61+G62+G63)/15</f>
        <v>0.25378937395993473</v>
      </c>
      <c r="H47" s="23">
        <f t="shared" ref="H47" si="11">+(H48+H49+H50+H51+H52+H53+H54+H55+H56+H57+H58+H59+H60+H61+H62+H63)/15</f>
        <v>0.26852140806065733</v>
      </c>
      <c r="I47" s="23">
        <f>+(I48+I49+I50+I51+I52+I53+I54+I55+I56+I57+I58+I59+I60+I61+I62+I63)/16</f>
        <v>0.7099586933628762</v>
      </c>
      <c r="J47" s="22">
        <f>+(J48+J49+J50+J51+J52+J53+J54+J55+J56+J57+J58+J59+J60+J61+J62+J63)/15</f>
        <v>0.21288627727196741</v>
      </c>
      <c r="K47" s="22">
        <f>+(K48+K49+K50+K51+K52+K53+K54+K55+K56+K57+K58+K59+K60+K61+K62+K63)/16</f>
        <v>0.46393700323416592</v>
      </c>
      <c r="L47" s="32">
        <f>+(L48+L49+L50+L51+L52+L53+L54+L55+L56+L57+L58+L59+L60+L61+L62+L63)</f>
        <v>0.19455564139729131</v>
      </c>
      <c r="M47" s="32">
        <f>+'Vida Digna'!AA4</f>
        <v>0.41239757019059781</v>
      </c>
      <c r="N47" s="26"/>
      <c r="O47" s="10"/>
      <c r="P47" s="59"/>
    </row>
    <row r="48" spans="2:16" ht="32.4" customHeight="1" x14ac:dyDescent="0.7">
      <c r="B48" s="33" t="s">
        <v>1612</v>
      </c>
      <c r="C48" s="1005"/>
      <c r="D48" s="13">
        <f>+'Vida Digna'!I5</f>
        <v>0.13533333333333333</v>
      </c>
      <c r="E48" s="13">
        <f>+'Vida Digna'!J5</f>
        <v>0.26333333333333325</v>
      </c>
      <c r="F48" s="13">
        <f t="shared" si="2"/>
        <v>0.3627999999999999</v>
      </c>
      <c r="G48" s="13">
        <f>+'Vida Digna'!K5</f>
        <v>0.12433333333333335</v>
      </c>
      <c r="H48" s="13">
        <f>+'Vida Digna'!L5</f>
        <v>0.25883333333333336</v>
      </c>
      <c r="I48" s="13">
        <f>+'Vida Digna'!U5</f>
        <v>0.6082352941176471</v>
      </c>
      <c r="J48" s="13">
        <f>+'Vida Digna'!X5</f>
        <v>9.9466666666666662E-2</v>
      </c>
      <c r="K48" s="13">
        <f>+'Vida Digna'!Y5</f>
        <v>0.27086111111111111</v>
      </c>
      <c r="L48" s="34">
        <f>+'Vida Digna'!Z5</f>
        <v>2.3891666666666669E-2</v>
      </c>
      <c r="M48" s="34">
        <f>+'Vida Digna'!AA5</f>
        <v>0.32416666666666666</v>
      </c>
      <c r="N48" s="26"/>
      <c r="O48" s="10"/>
      <c r="P48" s="59"/>
    </row>
    <row r="49" spans="2:16" ht="50.4" customHeight="1" x14ac:dyDescent="0.7">
      <c r="B49" s="33" t="s">
        <v>1570</v>
      </c>
      <c r="C49" s="1005"/>
      <c r="D49" s="13">
        <f>+'Vida Digna'!I12</f>
        <v>0.33035714285714285</v>
      </c>
      <c r="E49" s="13">
        <f>+'Vida Digna'!J12</f>
        <v>0.43154761904761907</v>
      </c>
      <c r="F49" s="13">
        <f t="shared" si="2"/>
        <v>0.66666666666666674</v>
      </c>
      <c r="G49" s="13">
        <f>+'Vida Digna'!K12</f>
        <v>0.33928571428571425</v>
      </c>
      <c r="H49" s="13">
        <f>+'Vida Digna'!L12</f>
        <v>0.47023809523809523</v>
      </c>
      <c r="I49" s="13">
        <f>+'Vida Digna'!U12</f>
        <v>0.7</v>
      </c>
      <c r="J49" s="13">
        <f>+'Vida Digna'!X12</f>
        <v>0.23511904761904762</v>
      </c>
      <c r="K49" s="13">
        <f>+'Vida Digna'!Y12</f>
        <v>0.57440476190476186</v>
      </c>
      <c r="L49" s="34">
        <f>+'Vida Digna'!Z12</f>
        <v>5.261904761904761E-3</v>
      </c>
      <c r="M49" s="34">
        <f>+'Vida Digna'!AA12</f>
        <v>0.58452380952380956</v>
      </c>
      <c r="N49" s="26"/>
      <c r="O49" s="10"/>
      <c r="P49" s="59"/>
    </row>
    <row r="50" spans="2:16" ht="39.6" customHeight="1" x14ac:dyDescent="0.7">
      <c r="B50" s="33" t="s">
        <v>1613</v>
      </c>
      <c r="C50" s="1005"/>
      <c r="D50" s="13">
        <f>+'Vida Digna'!I15</f>
        <v>0.24305555555555555</v>
      </c>
      <c r="E50" s="13">
        <f>+'Vida Digna'!J15</f>
        <v>0.26562064156206416</v>
      </c>
      <c r="F50" s="13">
        <f t="shared" si="2"/>
        <v>0.51059598300484288</v>
      </c>
      <c r="G50" s="13">
        <f>+'Vida Digna'!K15</f>
        <v>0.22361111111111112</v>
      </c>
      <c r="H50" s="13">
        <f>+'Vida Digna'!L15</f>
        <v>0.2536436541143654</v>
      </c>
      <c r="I50" s="13">
        <f>+'Vida Digna'!U15</f>
        <v>0.5788151515151515</v>
      </c>
      <c r="J50" s="13">
        <f>+'Vida Digna'!X15</f>
        <v>0.24497534144277869</v>
      </c>
      <c r="K50" s="13">
        <f>+'Vida Digna'!Y15</f>
        <v>0.35114450586560902</v>
      </c>
      <c r="L50" s="34">
        <f>+'Vida Digna'!Z15</f>
        <v>2.2443072307612263E-2</v>
      </c>
      <c r="M50" s="34">
        <f>+'Vida Digna'!AA15</f>
        <v>0.39501720617566255</v>
      </c>
      <c r="N50" s="26"/>
      <c r="O50" s="10"/>
      <c r="P50" s="59"/>
    </row>
    <row r="51" spans="2:16" ht="36.6" x14ac:dyDescent="0.7">
      <c r="B51" s="33" t="s">
        <v>1572</v>
      </c>
      <c r="C51" s="1005"/>
      <c r="D51" s="13">
        <f>+'Vida Digna'!I21</f>
        <v>0.28974632671496775</v>
      </c>
      <c r="E51" s="13">
        <f>+'Vida Digna'!J21</f>
        <v>0.22570672713529855</v>
      </c>
      <c r="F51" s="13">
        <f t="shared" si="2"/>
        <v>0.6101491436683073</v>
      </c>
      <c r="G51" s="13">
        <f>+'Vida Digna'!K21</f>
        <v>0.28333533359143115</v>
      </c>
      <c r="H51" s="13">
        <f>+'Vida Digna'!L21</f>
        <v>0.22066402116402117</v>
      </c>
      <c r="I51" s="13">
        <f>+'Vida Digna'!U21</f>
        <v>0.75427203510130336</v>
      </c>
      <c r="J51" s="13">
        <f>+'Vida Digna'!X21</f>
        <v>0.38444241653300881</v>
      </c>
      <c r="K51" s="13">
        <f>+'Vida Digna'!Y21</f>
        <v>0.54773730250907948</v>
      </c>
      <c r="L51" s="34">
        <f>+'Vida Digna'!Z21</f>
        <v>3.9090985933668859E-2</v>
      </c>
      <c r="M51" s="34">
        <f>+'Vida Digna'!AA21</f>
        <v>0.56465087430636207</v>
      </c>
      <c r="N51" s="26"/>
      <c r="O51" s="10"/>
      <c r="P51" s="59"/>
    </row>
    <row r="52" spans="2:16" ht="21.6" customHeight="1" x14ac:dyDescent="0.7">
      <c r="B52" s="33" t="s">
        <v>1573</v>
      </c>
      <c r="C52" s="1005"/>
      <c r="D52" s="13">
        <f>+'Vida Digna'!I29</f>
        <v>0.15707666719467767</v>
      </c>
      <c r="E52" s="13">
        <f>+'Vida Digna'!J29</f>
        <v>0.26624623792174879</v>
      </c>
      <c r="F52" s="13">
        <f t="shared" si="2"/>
        <v>0.5515008712181213</v>
      </c>
      <c r="G52" s="13">
        <f>+'Vida Digna'!K29</f>
        <v>0.14557658799303025</v>
      </c>
      <c r="H52" s="13">
        <f>+'Vida Digna'!L29</f>
        <v>0.263632583557738</v>
      </c>
      <c r="I52" s="13">
        <f>+'Vida Digna'!U29</f>
        <v>1</v>
      </c>
      <c r="J52" s="13">
        <f>+'Vida Digna'!X29</f>
        <v>0.28525463329637252</v>
      </c>
      <c r="K52" s="13">
        <f>+'Vida Digna'!Y29</f>
        <v>0.66717487723744651</v>
      </c>
      <c r="L52" s="34">
        <f>+'Vida Digna'!Z29</f>
        <v>1.4958914145414224E-2</v>
      </c>
      <c r="M52" s="34">
        <f>+'Vida Digna'!AA29</f>
        <v>0.67568905433233006</v>
      </c>
      <c r="N52" s="26"/>
      <c r="O52" s="10"/>
      <c r="P52" s="59"/>
    </row>
    <row r="53" spans="2:16" ht="37.200000000000003" customHeight="1" x14ac:dyDescent="0.7">
      <c r="B53" s="33" t="s">
        <v>1574</v>
      </c>
      <c r="C53" s="1005"/>
      <c r="D53" s="13">
        <f>+'Vida Digna'!I34</f>
        <v>0.44396853146853149</v>
      </c>
      <c r="E53" s="13">
        <f>+'Vida Digna'!J34</f>
        <v>0.2717074592074592</v>
      </c>
      <c r="F53" s="13">
        <f t="shared" si="2"/>
        <v>0.41523310023310023</v>
      </c>
      <c r="G53" s="13">
        <f>+'Vida Digna'!K34</f>
        <v>0.55517482517482519</v>
      </c>
      <c r="H53" s="13">
        <f>+'Vida Digna'!L34</f>
        <v>0.28403263403263401</v>
      </c>
      <c r="I53" s="13">
        <f>+'Vida Digna'!U34</f>
        <v>0.96666666666666667</v>
      </c>
      <c r="J53" s="13">
        <f>+'Vida Digna'!X34</f>
        <v>0.14352564102564103</v>
      </c>
      <c r="K53" s="13">
        <f>+'Vida Digna'!Y34</f>
        <v>0.61694347319347331</v>
      </c>
      <c r="L53" s="34">
        <f>+'Vida Digna'!Z34</f>
        <v>3.6297435897435898E-3</v>
      </c>
      <c r="M53" s="34">
        <f>+'Vida Digna'!AA34</f>
        <v>0.69355477855477854</v>
      </c>
      <c r="N53" s="26"/>
      <c r="O53" s="10"/>
      <c r="P53" s="59"/>
    </row>
    <row r="54" spans="2:16" ht="36.6" x14ac:dyDescent="0.7">
      <c r="B54" s="33" t="s">
        <v>1614</v>
      </c>
      <c r="C54" s="1005"/>
      <c r="D54" s="13">
        <f>+'Vida Digna'!I39</f>
        <v>0.40860215053763443</v>
      </c>
      <c r="E54" s="13">
        <f>+'Vida Digna'!J39</f>
        <v>0.19892473118279572</v>
      </c>
      <c r="F54" s="13">
        <f t="shared" si="2"/>
        <v>0.442349045274959</v>
      </c>
      <c r="G54" s="13">
        <f>+'Vida Digna'!K39</f>
        <v>0.34516129032258069</v>
      </c>
      <c r="H54" s="13">
        <f>+'Vida Digna'!L39</f>
        <v>0.21935483870967742</v>
      </c>
      <c r="I54" s="13">
        <f>+'Vida Digna'!U39</f>
        <v>0.84513213981244684</v>
      </c>
      <c r="J54" s="13">
        <f>+'Vida Digna'!X39</f>
        <v>0.24342431409216325</v>
      </c>
      <c r="K54" s="13">
        <f>+'Vida Digna'!Y39</f>
        <v>0.7199403239556692</v>
      </c>
      <c r="L54" s="34">
        <f>+'Vida Digna'!Z39</f>
        <v>9.3589740945466543E-3</v>
      </c>
      <c r="M54" s="34">
        <f>+'Vida Digna'!AA39</f>
        <v>0.57991048593350381</v>
      </c>
      <c r="N54" s="26"/>
      <c r="O54" s="10"/>
      <c r="P54" s="59"/>
    </row>
    <row r="55" spans="2:16" ht="34.200000000000003" customHeight="1" x14ac:dyDescent="0.7">
      <c r="B55" s="33" t="s">
        <v>1576</v>
      </c>
      <c r="C55" s="1005"/>
      <c r="D55" s="13">
        <f>+'Vida Digna'!I43</f>
        <v>0.40173750334135255</v>
      </c>
      <c r="E55" s="13">
        <f>+'Vida Digna'!J43</f>
        <v>0.22403635391606525</v>
      </c>
      <c r="F55" s="13">
        <f t="shared" si="2"/>
        <v>0.39633520449077786</v>
      </c>
      <c r="G55" s="13">
        <f>+'Vida Digna'!K43</f>
        <v>0.32804397219994652</v>
      </c>
      <c r="H55" s="13">
        <f>+'Vida Digna'!L43</f>
        <v>0.24091753541833738</v>
      </c>
      <c r="I55" s="13">
        <f>+'Vida Digna'!U43</f>
        <v>0.40909090909090906</v>
      </c>
      <c r="J55" s="13">
        <f>+'Vida Digna'!X43</f>
        <v>0.17229885057471264</v>
      </c>
      <c r="K55" s="13">
        <f>+'Vida Digna'!Y43</f>
        <v>0.43899224806201548</v>
      </c>
      <c r="L55" s="34">
        <f>+'Vida Digna'!Z43</f>
        <v>2.7574712643678163E-3</v>
      </c>
      <c r="M55" s="34">
        <f>+'Vida Digna'!AA43</f>
        <v>0.37298449612403101</v>
      </c>
      <c r="N55" s="26"/>
      <c r="O55" s="10"/>
      <c r="P55" s="59"/>
    </row>
    <row r="56" spans="2:16" ht="25.95" customHeight="1" x14ac:dyDescent="0.7">
      <c r="B56" s="33" t="s">
        <v>1577</v>
      </c>
      <c r="C56" s="1005"/>
      <c r="D56" s="13">
        <f>+'Vida Digna'!I49</f>
        <v>0</v>
      </c>
      <c r="E56" s="13">
        <f>+'Vida Digna'!J49</f>
        <v>6.6666666666666666E-2</v>
      </c>
      <c r="F56" s="13">
        <f t="shared" si="2"/>
        <v>6.6666666666666666E-2</v>
      </c>
      <c r="G56" s="13">
        <f>+'Vida Digna'!K49</f>
        <v>0</v>
      </c>
      <c r="H56" s="13">
        <f>+'Vida Digna'!L49</f>
        <v>6.6666666666666666E-2</v>
      </c>
      <c r="I56" s="13">
        <f>+'Vida Digna'!U49</f>
        <v>1</v>
      </c>
      <c r="J56" s="13">
        <f>+'Vida Digna'!X49</f>
        <v>0</v>
      </c>
      <c r="K56" s="13">
        <f>+'Vida Digna'!Y49</f>
        <v>0.33333333333333331</v>
      </c>
      <c r="L56" s="34">
        <f>+'Vida Digna'!Z49</f>
        <v>0</v>
      </c>
      <c r="M56" s="34">
        <f>+'Vida Digna'!AA49</f>
        <v>0.33333333333333331</v>
      </c>
      <c r="N56" s="26"/>
      <c r="O56" s="10"/>
      <c r="P56" s="59"/>
    </row>
    <row r="57" spans="2:16" ht="55.95" customHeight="1" x14ac:dyDescent="0.7">
      <c r="B57" s="33" t="s">
        <v>1578</v>
      </c>
      <c r="C57" s="1005"/>
      <c r="D57" s="13">
        <f>+'Vida Digna'!I52</f>
        <v>0.20288161993769471</v>
      </c>
      <c r="E57" s="13">
        <f>+'Vida Digna'!J52</f>
        <v>0.21845794392523366</v>
      </c>
      <c r="F57" s="13">
        <f t="shared" si="2"/>
        <v>0.60311526479750777</v>
      </c>
      <c r="G57" s="13">
        <f>+'Vida Digna'!K52</f>
        <v>0.18177570093457943</v>
      </c>
      <c r="H57" s="13">
        <f>+'Vida Digna'!L52</f>
        <v>0.19813084112149532</v>
      </c>
      <c r="I57" s="13">
        <f>+'Vida Digna'!U52</f>
        <v>0.61111111111111116</v>
      </c>
      <c r="J57" s="13">
        <f>+'Vida Digna'!X52</f>
        <v>0.38465732087227411</v>
      </c>
      <c r="K57" s="13">
        <f>+'Vida Digna'!Y52</f>
        <v>0.62870560747663551</v>
      </c>
      <c r="L57" s="34">
        <f>+'Vida Digna'!Z52</f>
        <v>7.6028037383177559E-3</v>
      </c>
      <c r="M57" s="34">
        <f>+'Vida Digna'!AA52</f>
        <v>0.7111658878504673</v>
      </c>
      <c r="N57" s="26"/>
      <c r="O57" s="10"/>
      <c r="P57" s="59"/>
    </row>
    <row r="58" spans="2:16" ht="52.95" customHeight="1" x14ac:dyDescent="0.7">
      <c r="B58" s="33" t="s">
        <v>1579</v>
      </c>
      <c r="C58" s="1005"/>
      <c r="D58" s="13">
        <f>+'Vida Digna'!I56</f>
        <v>0.19781931464174454</v>
      </c>
      <c r="E58" s="13">
        <f>+'Vida Digna'!J56</f>
        <v>0.12694704049844238</v>
      </c>
      <c r="F58" s="13">
        <f t="shared" si="2"/>
        <v>0.24143302180685361</v>
      </c>
      <c r="G58" s="13">
        <f>+'Vida Digna'!K56</f>
        <v>0.17172897196261683</v>
      </c>
      <c r="H58" s="13">
        <f>+'Vida Digna'!L56</f>
        <v>0.16542056074766354</v>
      </c>
      <c r="I58" s="13">
        <f>+'Vida Digna'!U56</f>
        <v>1</v>
      </c>
      <c r="J58" s="13">
        <f>+'Vida Digna'!X56</f>
        <v>0.11448598130841121</v>
      </c>
      <c r="K58" s="13">
        <f>+'Vida Digna'!Y56</f>
        <v>0.37258566978193147</v>
      </c>
      <c r="L58" s="34">
        <f>+'Vida Digna'!Z56</f>
        <v>2.9345794392523369E-3</v>
      </c>
      <c r="M58" s="34">
        <f>+'Vida Digna'!AA56</f>
        <v>0.47887850467289728</v>
      </c>
      <c r="N58" s="26"/>
      <c r="O58" s="10"/>
      <c r="P58" s="59"/>
    </row>
    <row r="59" spans="2:16" ht="46.95" customHeight="1" x14ac:dyDescent="0.7">
      <c r="B59" s="33" t="s">
        <v>1615</v>
      </c>
      <c r="C59" s="1005"/>
      <c r="D59" s="13">
        <f>+'Vida Digna'!I60</f>
        <v>0.21443137254901962</v>
      </c>
      <c r="E59" s="13">
        <f>+'Vida Digna'!J60</f>
        <v>0.2941830065359477</v>
      </c>
      <c r="F59" s="13">
        <f t="shared" si="2"/>
        <v>0.48618660130718949</v>
      </c>
      <c r="G59" s="13">
        <f>+'Vida Digna'!K60</f>
        <v>0.15490686274509805</v>
      </c>
      <c r="H59" s="13">
        <f>+'Vida Digna'!L60</f>
        <v>0.28919771241830067</v>
      </c>
      <c r="I59" s="13">
        <f>+'Vida Digna'!U60</f>
        <v>0.33532729432729436</v>
      </c>
      <c r="J59" s="13">
        <f>+'Vida Digna'!X60</f>
        <v>0.19200359477124182</v>
      </c>
      <c r="K59" s="13">
        <f>+'Vida Digna'!Y60</f>
        <v>0.31259743230625581</v>
      </c>
      <c r="L59" s="34">
        <f>+'Vida Digna'!Z60</f>
        <v>1.4392630718954247E-2</v>
      </c>
      <c r="M59" s="34">
        <f>+'Vida Digna'!AA60</f>
        <v>0.24563316993464052</v>
      </c>
      <c r="N59" s="26"/>
      <c r="O59" s="10"/>
      <c r="P59" s="59"/>
    </row>
    <row r="60" spans="2:16" ht="55.2" customHeight="1" x14ac:dyDescent="0.7">
      <c r="B60" s="33" t="s">
        <v>1616</v>
      </c>
      <c r="C60" s="1005"/>
      <c r="D60" s="13">
        <f>+'Vida Digna'!I68</f>
        <v>0.20065789473684209</v>
      </c>
      <c r="E60" s="13">
        <f>+'Vida Digna'!J68</f>
        <v>0.29276315789473684</v>
      </c>
      <c r="F60" s="13">
        <f t="shared" si="2"/>
        <v>0.42973684210526314</v>
      </c>
      <c r="G60" s="13">
        <f>+'Vida Digna'!K68</f>
        <v>0.24013157894736842</v>
      </c>
      <c r="H60" s="13">
        <f>+'Vida Digna'!L68</f>
        <v>0.25855263157894737</v>
      </c>
      <c r="I60" s="13">
        <f>+'Vida Digna'!U68</f>
        <v>0.449625</v>
      </c>
      <c r="J60" s="13">
        <f>+'Vida Digna'!X68</f>
        <v>0.1369736842105263</v>
      </c>
      <c r="K60" s="13">
        <f>+'Vida Digna'!Y68</f>
        <v>0.3344375</v>
      </c>
      <c r="L60" s="34">
        <f>+'Vida Digna'!Z68</f>
        <v>3.7978947368421051E-3</v>
      </c>
      <c r="M60" s="34">
        <f>+'Vida Digna'!AA68</f>
        <v>0.38402500000000001</v>
      </c>
      <c r="N60" s="26"/>
      <c r="O60" s="10"/>
      <c r="P60" s="59"/>
    </row>
    <row r="61" spans="2:16" ht="28.95" customHeight="1" x14ac:dyDescent="0.7">
      <c r="B61" s="33" t="s">
        <v>1617</v>
      </c>
      <c r="C61" s="1005"/>
      <c r="D61" s="13">
        <f>+'Vida Digna'!I73</f>
        <v>0.26633986928104575</v>
      </c>
      <c r="E61" s="13">
        <f>+'Vida Digna'!J73</f>
        <v>0.51470588235294124</v>
      </c>
      <c r="F61" s="13">
        <f t="shared" si="2"/>
        <v>0.62359477124183016</v>
      </c>
      <c r="G61" s="13">
        <f>+'Vida Digna'!K73</f>
        <v>0.26470588235294118</v>
      </c>
      <c r="H61" s="13">
        <f>+'Vida Digna'!L73</f>
        <v>0.4882352941176471</v>
      </c>
      <c r="I61" s="13">
        <f>+'Vida Digna'!U73</f>
        <v>0.51777777777777778</v>
      </c>
      <c r="J61" s="13">
        <f>+'Vida Digna'!X73</f>
        <v>0.10888888888888888</v>
      </c>
      <c r="K61" s="13">
        <f>+'Vida Digna'!Y73</f>
        <v>0.41960784313725491</v>
      </c>
      <c r="L61" s="34">
        <f>+'Vida Digna'!Z73</f>
        <v>1.9599999999999999E-3</v>
      </c>
      <c r="M61" s="34">
        <f>+'Vida Digna'!AA73</f>
        <v>0.37764705882352939</v>
      </c>
      <c r="N61" s="26"/>
      <c r="O61" s="10"/>
      <c r="P61" s="59"/>
    </row>
    <row r="62" spans="2:16" ht="37.200000000000003" customHeight="1" x14ac:dyDescent="0.7">
      <c r="B62" s="33" t="s">
        <v>1618</v>
      </c>
      <c r="C62" s="1005"/>
      <c r="D62" s="13">
        <f>+'Vida Digna'!I77</f>
        <v>0.19</v>
      </c>
      <c r="E62" s="13">
        <f>+'Vida Digna'!J77</f>
        <v>0.25316323485526709</v>
      </c>
      <c r="F62" s="13">
        <f t="shared" si="2"/>
        <v>0.25316323485526709</v>
      </c>
      <c r="G62" s="13">
        <f>+'Vida Digna'!K77</f>
        <v>3.9E-2</v>
      </c>
      <c r="H62" s="13">
        <f>+'Vida Digna'!L77</f>
        <v>0.10689794091316027</v>
      </c>
      <c r="I62" s="13">
        <f>+'Vida Digna'!U77</f>
        <v>0.86428571428571432</v>
      </c>
      <c r="J62" s="13">
        <f>+'Vida Digna'!X77</f>
        <v>0</v>
      </c>
      <c r="K62" s="13">
        <f>+'Vida Digna'!Y77</f>
        <v>0.10283161742763354</v>
      </c>
      <c r="L62" s="34">
        <f>+'Vida Digna'!Z77</f>
        <v>0</v>
      </c>
      <c r="M62" s="34">
        <f>+'Vida Digna'!AA77</f>
        <v>9.2647940913160254E-2</v>
      </c>
      <c r="N62" s="26"/>
      <c r="O62" s="10"/>
      <c r="P62" s="59"/>
    </row>
    <row r="63" spans="2:16" ht="50.4" customHeight="1" x14ac:dyDescent="0.7">
      <c r="B63" s="33" t="s">
        <v>1619</v>
      </c>
      <c r="C63" s="1005"/>
      <c r="D63" s="13">
        <f>+'Vida Digna'!I85</f>
        <v>0.36527777777777776</v>
      </c>
      <c r="E63" s="13">
        <f>+'Vida Digna'!J85</f>
        <v>0.24861111111111106</v>
      </c>
      <c r="F63" s="13">
        <f t="shared" si="2"/>
        <v>0.69638888888888884</v>
      </c>
      <c r="G63" s="13">
        <f>+'Vida Digna'!K85</f>
        <v>0.41006944444444449</v>
      </c>
      <c r="H63" s="13">
        <f>+'Vida Digna'!L85</f>
        <v>0.24340277777777775</v>
      </c>
      <c r="I63" s="13">
        <f>+'Vida Digna'!U85</f>
        <v>0.71899999999999997</v>
      </c>
      <c r="J63" s="13">
        <f>+'Vida Digna'!X85</f>
        <v>0.44777777777777777</v>
      </c>
      <c r="K63" s="13">
        <f>+'Vida Digna'!Y85</f>
        <v>0.73169444444444454</v>
      </c>
      <c r="L63" s="34">
        <f>+'Vida Digna'!Z85</f>
        <v>4.2475000000000006E-2</v>
      </c>
      <c r="M63" s="34">
        <f>+'Vida Digna'!AA85</f>
        <v>0.66731944444444447</v>
      </c>
      <c r="N63" s="26"/>
      <c r="O63" s="10"/>
      <c r="P63" s="59"/>
    </row>
    <row r="64" spans="2:16" ht="73.2" customHeight="1" x14ac:dyDescent="0.7">
      <c r="B64" s="31" t="str">
        <f>+'Vida Digna'!B91:C91</f>
        <v xml:space="preserve"> Acceso a Servicios Básicos
</v>
      </c>
      <c r="C64" s="1005"/>
      <c r="D64" s="22">
        <f t="shared" ref="D64:G64" si="12">+(D65+D66+D67)/3</f>
        <v>0.36897145335135689</v>
      </c>
      <c r="E64" s="22">
        <f t="shared" si="12"/>
        <v>0.37316486001714971</v>
      </c>
      <c r="F64" s="22">
        <f t="shared" si="2"/>
        <v>0.4942397664731964</v>
      </c>
      <c r="G64" s="23">
        <f t="shared" si="12"/>
        <v>0.13546025296319508</v>
      </c>
      <c r="H64" s="23">
        <f t="shared" ref="H64:I64" si="13">+(H65+H66+H67)/3</f>
        <v>0.19876656861431621</v>
      </c>
      <c r="I64" s="23">
        <f t="shared" si="13"/>
        <v>0.23742231842231842</v>
      </c>
      <c r="J64" s="22">
        <f>+(J65+J66+J67)/3</f>
        <v>0.12107490645604667</v>
      </c>
      <c r="K64" s="22">
        <f>+(K65+K66+K67)/3</f>
        <v>0.23069545861234356</v>
      </c>
      <c r="L64" s="32">
        <f>+(L65+L66+L67)</f>
        <v>0.1147193821346188</v>
      </c>
      <c r="M64" s="32">
        <f>+'Vida Digna'!AA91</f>
        <v>0.2446746111848862</v>
      </c>
      <c r="N64" s="26"/>
      <c r="O64" s="10"/>
      <c r="P64" s="59"/>
    </row>
    <row r="65" spans="2:16" ht="33.6" customHeight="1" x14ac:dyDescent="0.7">
      <c r="B65" s="33" t="s">
        <v>1620</v>
      </c>
      <c r="C65" s="1005"/>
      <c r="D65" s="13">
        <f>+'Vida Digna'!I92</f>
        <v>0.36703340767311832</v>
      </c>
      <c r="E65" s="13">
        <f>+'Vida Digna'!J92</f>
        <v>0.21758981814668724</v>
      </c>
      <c r="F65" s="13">
        <f t="shared" si="2"/>
        <v>0.37590977561006533</v>
      </c>
      <c r="G65" s="13">
        <f>+'Vida Digna'!K92</f>
        <v>0.19522004460387099</v>
      </c>
      <c r="H65" s="13">
        <f>+'Vida Digna'!L92</f>
        <v>0.17639494393818686</v>
      </c>
      <c r="I65" s="13">
        <f>+'Vida Digna'!U92</f>
        <v>0.2016103896103896</v>
      </c>
      <c r="J65" s="13">
        <f>+'Vida Digna'!X92</f>
        <v>0.1583199574633781</v>
      </c>
      <c r="K65" s="13">
        <f>+'Vida Digna'!Y92</f>
        <v>0.38470145520211008</v>
      </c>
      <c r="L65" s="34">
        <f>+'Vida Digna'!Z92</f>
        <v>5.7744382134618799E-2</v>
      </c>
      <c r="M65" s="34">
        <f>+'Vida Digna'!AA92</f>
        <v>0.41789174624253211</v>
      </c>
      <c r="N65" s="26"/>
      <c r="O65" s="10"/>
      <c r="P65" s="59"/>
    </row>
    <row r="66" spans="2:16" ht="51" customHeight="1" x14ac:dyDescent="0.7">
      <c r="B66" s="33" t="s">
        <v>1621</v>
      </c>
      <c r="C66" s="1005"/>
      <c r="D66" s="13">
        <f>+'Vida Digna'!I101</f>
        <v>0.11488095238095238</v>
      </c>
      <c r="E66" s="13">
        <f>+'Vida Digna'!J101</f>
        <v>0.27142857142857141</v>
      </c>
      <c r="F66" s="13">
        <f t="shared" si="2"/>
        <v>0.35133333333333333</v>
      </c>
      <c r="G66" s="13">
        <f>+'Vida Digna'!K101</f>
        <v>8.6160714285714285E-2</v>
      </c>
      <c r="H66" s="13">
        <f>+'Vida Digna'!L101</f>
        <v>0.20357142857142857</v>
      </c>
      <c r="I66" s="13">
        <f>+'Vida Digna'!U101</f>
        <v>0.23969696969696971</v>
      </c>
      <c r="J66" s="13">
        <f>+'Vida Digna'!X101</f>
        <v>7.9904761904761909E-2</v>
      </c>
      <c r="K66" s="13">
        <f>+'Vida Digna'!Y101</f>
        <v>0.15044047619047618</v>
      </c>
      <c r="L66" s="34">
        <f>+'Vida Digna'!Z101</f>
        <v>2.0974999999999997E-2</v>
      </c>
      <c r="M66" s="34">
        <f>+'Vida Digna'!AA101</f>
        <v>0.1304642857142857</v>
      </c>
      <c r="N66" s="26"/>
      <c r="O66" s="10"/>
      <c r="P66" s="59"/>
    </row>
    <row r="67" spans="2:16" ht="33" customHeight="1" x14ac:dyDescent="0.7">
      <c r="B67" s="33" t="s">
        <v>1622</v>
      </c>
      <c r="C67" s="1005"/>
      <c r="D67" s="13">
        <f>+'Vida Digna'!I106</f>
        <v>0.625</v>
      </c>
      <c r="E67" s="13">
        <f>+'Vida Digna'!J106</f>
        <v>0.63047619047619041</v>
      </c>
      <c r="F67" s="13">
        <f t="shared" si="2"/>
        <v>0.75547619047619041</v>
      </c>
      <c r="G67" s="13">
        <f>+'Vida Digna'!K106</f>
        <v>0.125</v>
      </c>
      <c r="H67" s="13">
        <f>+'Vida Digna'!L106</f>
        <v>0.21633333333333332</v>
      </c>
      <c r="I67" s="13">
        <f>+'Vida Digna'!U106</f>
        <v>0.27095959595959596</v>
      </c>
      <c r="J67" s="13">
        <f>+'Vida Digna'!X106</f>
        <v>0.125</v>
      </c>
      <c r="K67" s="13">
        <f>+'Vida Digna'!Y106</f>
        <v>0.15694444444444444</v>
      </c>
      <c r="L67" s="34">
        <f>+'Vida Digna'!Z106</f>
        <v>3.6000000000000004E-2</v>
      </c>
      <c r="M67" s="34">
        <f>+'Vida Digna'!AA106</f>
        <v>0.17583333333333334</v>
      </c>
      <c r="N67" s="26"/>
      <c r="O67" s="10"/>
      <c r="P67" s="59"/>
    </row>
    <row r="68" spans="2:16" ht="69" customHeight="1" x14ac:dyDescent="0.7">
      <c r="B68" s="31" t="str">
        <f>+'Vida Digna'!B119:C119</f>
        <v xml:space="preserve"> Vivienda Digna y Hábitat
</v>
      </c>
      <c r="C68" s="1005"/>
      <c r="D68" s="22">
        <f t="shared" ref="D68:G68" si="14">+(D69+D70+D71+D72)/4</f>
        <v>0.17725490196078431</v>
      </c>
      <c r="E68" s="22">
        <f t="shared" si="14"/>
        <v>0.1495081699346405</v>
      </c>
      <c r="F68" s="22">
        <f t="shared" ref="F68:F131" si="15">+J68+E68</f>
        <v>0.29275669934640519</v>
      </c>
      <c r="G68" s="23">
        <f t="shared" si="14"/>
        <v>0.16792156862745097</v>
      </c>
      <c r="H68" s="23">
        <f t="shared" ref="H68:I68" si="16">+(H69+H70+H71+H72)/4</f>
        <v>0.15253039215686273</v>
      </c>
      <c r="I68" s="23">
        <f t="shared" si="16"/>
        <v>0.68414954337899536</v>
      </c>
      <c r="J68" s="22">
        <f>+(J69+J70+J71+J72)/4</f>
        <v>0.14324852941176469</v>
      </c>
      <c r="K68" s="22">
        <f>+(K69+K70+K71+K72)/4</f>
        <v>0.21681045751633984</v>
      </c>
      <c r="L68" s="32">
        <f>+(L69+L70+L71+L72)</f>
        <v>0.13347823529411765</v>
      </c>
      <c r="M68" s="32">
        <f>+'Vida Digna'!AA119</f>
        <v>0.20702054901960781</v>
      </c>
      <c r="N68" s="26"/>
      <c r="O68" s="10"/>
      <c r="P68" s="59"/>
    </row>
    <row r="69" spans="2:16" ht="42" customHeight="1" x14ac:dyDescent="0.7">
      <c r="B69" s="33" t="s">
        <v>1589</v>
      </c>
      <c r="C69" s="1005"/>
      <c r="D69" s="13">
        <f>+'Vida Digna'!I120</f>
        <v>0.04</v>
      </c>
      <c r="E69" s="13">
        <f>+'Vida Digna'!J120</f>
        <v>4.4999999999999998E-2</v>
      </c>
      <c r="F69" s="13">
        <f t="shared" si="15"/>
        <v>8.09E-2</v>
      </c>
      <c r="G69" s="13">
        <f>+'Vida Digna'!K120</f>
        <v>0.04</v>
      </c>
      <c r="H69" s="13">
        <f>+'Vida Digna'!L120</f>
        <v>4.4999999999999998E-2</v>
      </c>
      <c r="I69" s="13">
        <f>+'Vida Digna'!U120</f>
        <v>1</v>
      </c>
      <c r="J69" s="13">
        <f>+'Vida Digna'!X120</f>
        <v>3.5900000000000001E-2</v>
      </c>
      <c r="K69" s="13">
        <f>+'Vida Digna'!Y120</f>
        <v>8.2600000000000007E-2</v>
      </c>
      <c r="L69" s="34">
        <f>+'Vida Digna'!Z120</f>
        <v>1.077E-2</v>
      </c>
      <c r="M69" s="34">
        <f>+'Vida Digna'!AA120</f>
        <v>8.2600000000000007E-2</v>
      </c>
      <c r="N69" s="26"/>
      <c r="O69" s="10"/>
      <c r="P69" s="59"/>
    </row>
    <row r="70" spans="2:16" ht="33.6" customHeight="1" x14ac:dyDescent="0.7">
      <c r="B70" s="33" t="s">
        <v>1623</v>
      </c>
      <c r="C70" s="1005"/>
      <c r="D70" s="13">
        <f>+'Vida Digna'!I122</f>
        <v>0.21568627450980393</v>
      </c>
      <c r="E70" s="13">
        <f>+'Vida Digna'!J122</f>
        <v>5.7254901960784317E-2</v>
      </c>
      <c r="F70" s="13">
        <f t="shared" si="15"/>
        <v>0.28321568627450983</v>
      </c>
      <c r="G70" s="13">
        <f>+'Vida Digna'!K122</f>
        <v>0.21568627450980393</v>
      </c>
      <c r="H70" s="13">
        <f>+'Vida Digna'!L122</f>
        <v>5.7254901960784317E-2</v>
      </c>
      <c r="I70" s="13">
        <f>+'Vida Digna'!U122</f>
        <v>0.98493150684931507</v>
      </c>
      <c r="J70" s="13">
        <f>+'Vida Digna'!X122</f>
        <v>0.22596078431372549</v>
      </c>
      <c r="K70" s="13">
        <f>+'Vida Digna'!Y122</f>
        <v>0.28235294117647058</v>
      </c>
      <c r="L70" s="34">
        <f>+'Vida Digna'!Z122</f>
        <v>6.7788235294117649E-2</v>
      </c>
      <c r="M70" s="34">
        <f>+'Vida Digna'!AA122</f>
        <v>0.28235294117647058</v>
      </c>
      <c r="N70" s="26"/>
      <c r="O70" s="10"/>
      <c r="P70" s="59"/>
    </row>
    <row r="71" spans="2:16" ht="26.4" customHeight="1" x14ac:dyDescent="0.7">
      <c r="B71" s="33" t="s">
        <v>1624</v>
      </c>
      <c r="C71" s="1005"/>
      <c r="D71" s="13">
        <f>+'Vida Digna'!I124</f>
        <v>0.33</v>
      </c>
      <c r="E71" s="13">
        <f>+'Vida Digna'!J124</f>
        <v>0.2</v>
      </c>
      <c r="F71" s="13">
        <f t="shared" si="15"/>
        <v>0.39580000000000004</v>
      </c>
      <c r="G71" s="13">
        <f>+'Vida Digna'!K124</f>
        <v>0.33</v>
      </c>
      <c r="H71" s="13">
        <f>+'Vida Digna'!L124</f>
        <v>0.2</v>
      </c>
      <c r="I71" s="13">
        <f>+'Vida Digna'!U124</f>
        <v>0.36</v>
      </c>
      <c r="J71" s="13">
        <f>+'Vida Digna'!X124</f>
        <v>0.1958</v>
      </c>
      <c r="K71" s="13">
        <f>+'Vida Digna'!Y124</f>
        <v>0.26779999999999998</v>
      </c>
      <c r="L71" s="34">
        <f>+'Vida Digna'!Z124</f>
        <v>3.916E-2</v>
      </c>
      <c r="M71" s="34">
        <f>+'Vida Digna'!AA124</f>
        <v>0.26779999999999998</v>
      </c>
      <c r="N71" s="26"/>
      <c r="O71" s="10"/>
      <c r="P71" s="59"/>
    </row>
    <row r="72" spans="2:16" ht="40.950000000000003" customHeight="1" x14ac:dyDescent="0.7">
      <c r="B72" s="33" t="s">
        <v>1592</v>
      </c>
      <c r="C72" s="1005"/>
      <c r="D72" s="13">
        <f>+'Vida Digna'!I126</f>
        <v>0.12333333333333334</v>
      </c>
      <c r="E72" s="13">
        <f>+'Vida Digna'!J126</f>
        <v>0.29577777777777775</v>
      </c>
      <c r="F72" s="13">
        <f t="shared" si="15"/>
        <v>0.41111111111111109</v>
      </c>
      <c r="G72" s="13">
        <f>+'Vida Digna'!K126</f>
        <v>8.5999999999999993E-2</v>
      </c>
      <c r="H72" s="13">
        <f>+'Vida Digna'!L126</f>
        <v>0.30786666666666662</v>
      </c>
      <c r="I72" s="13">
        <f>+'Vida Digna'!U126</f>
        <v>0.39166666666666661</v>
      </c>
      <c r="J72" s="13">
        <f>+'Vida Digna'!X126</f>
        <v>0.11533333333333333</v>
      </c>
      <c r="K72" s="13">
        <f>+'Vida Digna'!Y126</f>
        <v>0.23448888888888889</v>
      </c>
      <c r="L72" s="34">
        <f>+'Vida Digna'!Z126</f>
        <v>1.5760000000000003E-2</v>
      </c>
      <c r="M72" s="34">
        <f>+'Vida Digna'!AA126</f>
        <v>0.21987333333333331</v>
      </c>
      <c r="N72" s="26"/>
      <c r="O72" s="10"/>
      <c r="P72" s="59"/>
    </row>
    <row r="73" spans="2:16" ht="49.8" x14ac:dyDescent="0.7">
      <c r="B73" s="31" t="str">
        <f>+'Vida Digna'!B130:C130</f>
        <v xml:space="preserve">Artes, Cultura y Patrimonio
</v>
      </c>
      <c r="C73" s="1005"/>
      <c r="D73" s="22">
        <f>+(D74+D75+D76+D77+D78+D79)/5</f>
        <v>0.22655250131358057</v>
      </c>
      <c r="E73" s="22">
        <f>+(E74+E75+E76+E77+E78+E79)/6</f>
        <v>0.40396612216494382</v>
      </c>
      <c r="F73" s="22">
        <f>+J73+E73</f>
        <v>0.6175572285863945</v>
      </c>
      <c r="G73" s="23">
        <f>+(G74+G75+G76+G77+G78+G79)/5</f>
        <v>0.2503571688629197</v>
      </c>
      <c r="H73" s="23">
        <f t="shared" ref="H73" si="17">+(H74+H75+H76+H77+H78+H79)/5</f>
        <v>0.41655725758418588</v>
      </c>
      <c r="I73" s="23">
        <f>+(I74+I75+I76+I77+I78+I79)/6</f>
        <v>0.68323439829148036</v>
      </c>
      <c r="J73" s="22">
        <f>+(J74+J75+J76+J77+J78+J79)/5</f>
        <v>0.21359110642145068</v>
      </c>
      <c r="K73" s="22">
        <f>+(K74+K75+K76+K77+K78+K79)/5</f>
        <v>0.58519201155923795</v>
      </c>
      <c r="L73" s="32">
        <f>+(L74+L75+L76+L77+L78+L79)</f>
        <v>0.17679704653535339</v>
      </c>
      <c r="M73" s="32">
        <f>+'Vida Digna'!AA130</f>
        <v>0.45426398681970037</v>
      </c>
      <c r="N73" s="26"/>
      <c r="O73" s="10"/>
      <c r="P73" s="59"/>
    </row>
    <row r="74" spans="2:16" ht="52.2" customHeight="1" x14ac:dyDescent="0.7">
      <c r="B74" s="33" t="s">
        <v>1594</v>
      </c>
      <c r="C74" s="1005"/>
      <c r="D74" s="13">
        <f>+'Vida Digna'!I131</f>
        <v>0.10484583990123605</v>
      </c>
      <c r="E74" s="13">
        <f>+'Vida Digna'!J131</f>
        <v>0.29872381632299655</v>
      </c>
      <c r="F74" s="13">
        <f t="shared" si="15"/>
        <v>0.4054293484302498</v>
      </c>
      <c r="G74" s="13">
        <f>+'Vida Digna'!K131</f>
        <v>6.9160844314598499E-2</v>
      </c>
      <c r="H74" s="13">
        <f>+'Vida Digna'!L131</f>
        <v>0.33846857958759585</v>
      </c>
      <c r="I74" s="13">
        <f>+'Vida Digna'!U131</f>
        <v>0.83946486928104569</v>
      </c>
      <c r="J74" s="13">
        <f>+'Vida Digna'!X131</f>
        <v>0.10670553210725324</v>
      </c>
      <c r="K74" s="13">
        <f>+'Vida Digna'!Y131</f>
        <v>0.49832116890730116</v>
      </c>
      <c r="L74" s="34">
        <f>+'Vida Digna'!Z131</f>
        <v>2.1309546535353403E-2</v>
      </c>
      <c r="M74" s="34">
        <f>+'Vida Digna'!AA131</f>
        <v>0.44951236347307505</v>
      </c>
      <c r="N74" s="26"/>
      <c r="O74" s="10"/>
      <c r="P74" s="59"/>
    </row>
    <row r="75" spans="2:16" ht="55.95" customHeight="1" x14ac:dyDescent="0.7">
      <c r="B75" s="33" t="s">
        <v>1595</v>
      </c>
      <c r="C75" s="1005"/>
      <c r="D75" s="13">
        <f>+'Vida Digna'!I140</f>
        <v>0.22499999999999998</v>
      </c>
      <c r="E75" s="13">
        <f>+'Vida Digna'!J140</f>
        <v>0.29166666666666663</v>
      </c>
      <c r="F75" s="13">
        <f t="shared" si="15"/>
        <v>0.66124999999999989</v>
      </c>
      <c r="G75" s="13">
        <f>+'Vida Digna'!K140</f>
        <v>0.23583333333333334</v>
      </c>
      <c r="H75" s="13">
        <f>+'Vida Digna'!L140</f>
        <v>0.27083333333333331</v>
      </c>
      <c r="I75" s="13">
        <f>+'Vida Digna'!U140</f>
        <v>1</v>
      </c>
      <c r="J75" s="13">
        <f>+'Vida Digna'!X140</f>
        <v>0.36958333333333332</v>
      </c>
      <c r="K75" s="13">
        <f>+'Vida Digna'!Y140</f>
        <v>0.90749999999999997</v>
      </c>
      <c r="L75" s="34">
        <f>+'Vida Digna'!Z140</f>
        <v>4.7750000000000001E-2</v>
      </c>
      <c r="M75" s="34">
        <f>+'Vida Digna'!AA140</f>
        <v>0.9375</v>
      </c>
      <c r="N75" s="26"/>
      <c r="O75" s="10"/>
      <c r="P75" s="59"/>
    </row>
    <row r="76" spans="2:16" ht="40.950000000000003" customHeight="1" x14ac:dyDescent="0.7">
      <c r="B76" s="33" t="s">
        <v>1596</v>
      </c>
      <c r="C76" s="1005"/>
      <c r="D76" s="13">
        <f>+'Vida Digna'!I145</f>
        <v>0.15208333333333332</v>
      </c>
      <c r="E76" s="13">
        <f>+'Vida Digna'!J145</f>
        <v>0.25</v>
      </c>
      <c r="F76" s="13">
        <f t="shared" si="15"/>
        <v>0.43125000000000002</v>
      </c>
      <c r="G76" s="13">
        <f>+'Vida Digna'!K145</f>
        <v>0.24379166666666666</v>
      </c>
      <c r="H76" s="13">
        <f>+'Vida Digna'!L145</f>
        <v>0.25</v>
      </c>
      <c r="I76" s="13">
        <f>+'Vida Digna'!U145</f>
        <v>0.91222222222222227</v>
      </c>
      <c r="J76" s="13">
        <f>+'Vida Digna'!X145</f>
        <v>0.18124999999999999</v>
      </c>
      <c r="K76" s="13">
        <f>+'Vida Digna'!Y145</f>
        <v>0.67013888888888884</v>
      </c>
      <c r="L76" s="34">
        <f>+'Vida Digna'!Z145</f>
        <v>2.5487500000000003E-2</v>
      </c>
      <c r="M76" s="34">
        <f>+'Vida Digna'!AA145</f>
        <v>0.59410277777777776</v>
      </c>
      <c r="N76" s="26"/>
      <c r="O76" s="10"/>
      <c r="P76" s="59"/>
    </row>
    <row r="77" spans="2:16" ht="47.4" customHeight="1" x14ac:dyDescent="0.7">
      <c r="B77" s="33" t="s">
        <v>1597</v>
      </c>
      <c r="C77" s="1005"/>
      <c r="D77" s="13">
        <f>+'Vida Digna'!I148</f>
        <v>0.21333333333333335</v>
      </c>
      <c r="E77" s="13">
        <f>+'Vida Digna'!J148</f>
        <v>0.57199999999999995</v>
      </c>
      <c r="F77" s="13">
        <f t="shared" si="15"/>
        <v>0.78866666666666663</v>
      </c>
      <c r="G77" s="13">
        <f>+'Vida Digna'!K148</f>
        <v>0.128</v>
      </c>
      <c r="H77" s="13">
        <f>+'Vida Digna'!L148</f>
        <v>0.57200000000000006</v>
      </c>
      <c r="I77" s="13">
        <f>+'Vida Digna'!U148</f>
        <v>0.7466666666666667</v>
      </c>
      <c r="J77" s="13">
        <f>+'Vida Digna'!X148</f>
        <v>0.21666666666666667</v>
      </c>
      <c r="K77" s="13">
        <f>+'Vida Digna'!Y148</f>
        <v>0.52</v>
      </c>
      <c r="L77" s="34">
        <f>+'Vida Digna'!Z148</f>
        <v>6.5000000000000006E-3</v>
      </c>
      <c r="M77" s="34">
        <f>+'Vida Digna'!AA148</f>
        <v>0.52</v>
      </c>
      <c r="N77" s="26"/>
      <c r="O77" s="10"/>
      <c r="P77" s="59"/>
    </row>
    <row r="78" spans="2:16" ht="51" customHeight="1" x14ac:dyDescent="0.7">
      <c r="B78" s="33" t="s">
        <v>1598</v>
      </c>
      <c r="C78" s="1005"/>
      <c r="D78" s="13">
        <f>+'Vida Digna'!I154</f>
        <v>0.4375</v>
      </c>
      <c r="E78" s="13">
        <f>+'Vida Digna'!J154</f>
        <v>0.34500000000000003</v>
      </c>
      <c r="F78" s="13">
        <f t="shared" si="15"/>
        <v>0.53875000000000006</v>
      </c>
      <c r="G78" s="13">
        <f>+'Vida Digna'!K154</f>
        <v>0.57500000000000007</v>
      </c>
      <c r="H78" s="13">
        <f>+'Vida Digna'!L154</f>
        <v>0.28500000000000003</v>
      </c>
      <c r="I78" s="13">
        <f>+'Vida Digna'!U154</f>
        <v>0.60105263157894728</v>
      </c>
      <c r="J78" s="13">
        <f>+'Vida Digna'!X154</f>
        <v>0.19375000000000001</v>
      </c>
      <c r="K78" s="13">
        <f>+'Vida Digna'!Y154</f>
        <v>0.32999999999999996</v>
      </c>
      <c r="L78" s="34">
        <f>+'Vida Digna'!Z154</f>
        <v>7.5749999999999998E-2</v>
      </c>
      <c r="M78" s="34">
        <f>+'Vida Digna'!AA154</f>
        <v>0.46750000000000003</v>
      </c>
      <c r="N78" s="26"/>
      <c r="O78" s="10"/>
      <c r="P78" s="59"/>
    </row>
    <row r="79" spans="2:16" ht="43.95" customHeight="1" x14ac:dyDescent="0.7">
      <c r="B79" s="33" t="s">
        <v>1599</v>
      </c>
      <c r="C79" s="1005"/>
      <c r="D79" s="13">
        <f>+'Vida Digna'!I160</f>
        <v>0</v>
      </c>
      <c r="E79" s="13">
        <f>+'Vida Digna'!J160</f>
        <v>0.66640624999999998</v>
      </c>
      <c r="F79" s="13">
        <f t="shared" si="15"/>
        <v>0.66640624999999998</v>
      </c>
      <c r="G79" s="13">
        <f>+'Vida Digna'!K160</f>
        <v>0</v>
      </c>
      <c r="H79" s="13">
        <f>+'Vida Digna'!L160</f>
        <v>0.36648437499999997</v>
      </c>
      <c r="I79" s="13">
        <f>+'Vida Digna'!U160</f>
        <v>0</v>
      </c>
      <c r="J79" s="13">
        <f>+'Vida Digna'!X160</f>
        <v>0</v>
      </c>
      <c r="K79" s="13">
        <f>+'Vida Digna'!Y160</f>
        <v>0</v>
      </c>
      <c r="L79" s="34">
        <f>+'Vida Digna'!Z160</f>
        <v>0</v>
      </c>
      <c r="M79" s="34">
        <f>+'Vida Digna'!AA160</f>
        <v>0</v>
      </c>
      <c r="N79" s="26"/>
      <c r="O79" s="10"/>
      <c r="P79" s="59"/>
    </row>
    <row r="80" spans="2:16" ht="66.599999999999994" customHeight="1" x14ac:dyDescent="0.7">
      <c r="B80" s="31" t="str">
        <f>+'Vida Digna'!B164:C164</f>
        <v xml:space="preserve">Deporte y Recreación
</v>
      </c>
      <c r="C80" s="1005"/>
      <c r="D80" s="22">
        <f t="shared" ref="D80:G80" si="18">+(D81+D82+D83+D84+D85+D86+D87)/7</f>
        <v>0.23893651055292212</v>
      </c>
      <c r="E80" s="22">
        <f t="shared" si="18"/>
        <v>0.28593294105804123</v>
      </c>
      <c r="F80" s="22">
        <f t="shared" si="15"/>
        <v>0.5512547869858142</v>
      </c>
      <c r="G80" s="23">
        <f t="shared" si="18"/>
        <v>0.22368966475650506</v>
      </c>
      <c r="H80" s="23">
        <f t="shared" ref="H80:I80" si="19">+(H81+H82+H83+H84+H85+H86+H87)/7</f>
        <v>0.2870384761939736</v>
      </c>
      <c r="I80" s="23">
        <f t="shared" si="19"/>
        <v>0.67086826386235454</v>
      </c>
      <c r="J80" s="22">
        <f>+(J81+J82+J83+J84+J85+J86+J87)/7</f>
        <v>0.26532184592777297</v>
      </c>
      <c r="K80" s="22">
        <f>+(K81+K82+K83+K84+K85+K86+K87)/7</f>
        <v>0.46256200361790539</v>
      </c>
      <c r="L80" s="32">
        <f>+(L81+L82+L83+L84+L85+L86+L87)</f>
        <v>0.20257591878811407</v>
      </c>
      <c r="M80" s="32">
        <f>+'Vida Digna'!AA164</f>
        <v>0.41102090301256877</v>
      </c>
      <c r="N80" s="26"/>
      <c r="O80" s="10"/>
      <c r="P80" s="59"/>
    </row>
    <row r="81" spans="2:18" ht="57.6" customHeight="1" x14ac:dyDescent="0.7">
      <c r="B81" s="33" t="s">
        <v>1601</v>
      </c>
      <c r="C81" s="1005"/>
      <c r="D81" s="13">
        <f>+'Vida Digna'!I165</f>
        <v>0.3125</v>
      </c>
      <c r="E81" s="13">
        <f>+'Vida Digna'!J165</f>
        <v>0.39083333333333331</v>
      </c>
      <c r="F81" s="13">
        <f t="shared" si="15"/>
        <v>0.56624999999999992</v>
      </c>
      <c r="G81" s="13">
        <f>+'Vida Digna'!K165</f>
        <v>0.3125</v>
      </c>
      <c r="H81" s="13">
        <f>+'Vida Digna'!L165</f>
        <v>0.39083333333333331</v>
      </c>
      <c r="I81" s="13">
        <f>+'Vida Digna'!U165</f>
        <v>0.58865296803652967</v>
      </c>
      <c r="J81" s="13">
        <f>+'Vida Digna'!X165</f>
        <v>0.17541666666666667</v>
      </c>
      <c r="K81" s="13">
        <f>+'Vida Digna'!Y165</f>
        <v>0.39354166666666668</v>
      </c>
      <c r="L81" s="34">
        <f>+'Vida Digna'!Z165</f>
        <v>6.139583333333333E-2</v>
      </c>
      <c r="M81" s="34">
        <f>+'Vida Digna'!AA165</f>
        <v>0.39354166666666668</v>
      </c>
      <c r="N81" s="26"/>
      <c r="O81" s="10"/>
      <c r="P81" s="59"/>
    </row>
    <row r="82" spans="2:18" ht="34.950000000000003" customHeight="1" x14ac:dyDescent="0.7">
      <c r="B82" s="33" t="s">
        <v>1602</v>
      </c>
      <c r="C82" s="1005"/>
      <c r="D82" s="13">
        <f>+'Vida Digna'!I170</f>
        <v>3.2271422261484099E-2</v>
      </c>
      <c r="E82" s="13">
        <f>+'Vida Digna'!J170</f>
        <v>0.31835247349823326</v>
      </c>
      <c r="F82" s="13">
        <f t="shared" si="15"/>
        <v>0.35554880742049472</v>
      </c>
      <c r="G82" s="13">
        <f>+'Vida Digna'!K170</f>
        <v>2.6429991166077735E-2</v>
      </c>
      <c r="H82" s="13">
        <f>+'Vida Digna'!L170</f>
        <v>0.32069346289752654</v>
      </c>
      <c r="I82" s="13">
        <f>+'Vida Digna'!U170</f>
        <v>0.58152588555858309</v>
      </c>
      <c r="J82" s="13">
        <f>+'Vida Digna'!X170</f>
        <v>3.7196333922261481E-2</v>
      </c>
      <c r="K82" s="13">
        <f>+'Vida Digna'!Y170</f>
        <v>0.22268661660777384</v>
      </c>
      <c r="L82" s="34">
        <f>+'Vida Digna'!Z170</f>
        <v>5.6649734982332153E-3</v>
      </c>
      <c r="M82" s="34">
        <f>+'Vida Digna'!AA170</f>
        <v>0.22301126325088338</v>
      </c>
      <c r="N82" s="26"/>
      <c r="O82" s="10"/>
      <c r="P82" s="59"/>
    </row>
    <row r="83" spans="2:18" ht="48.6" customHeight="1" x14ac:dyDescent="0.7">
      <c r="B83" s="33" t="s">
        <v>1625</v>
      </c>
      <c r="C83" s="1005"/>
      <c r="D83" s="13">
        <f>+'Vida Digna'!I173</f>
        <v>0.25058139534883722</v>
      </c>
      <c r="E83" s="13">
        <f>+'Vida Digna'!J173</f>
        <v>0.25058139534883722</v>
      </c>
      <c r="F83" s="13">
        <f t="shared" si="15"/>
        <v>0.58438759689922481</v>
      </c>
      <c r="G83" s="13">
        <f>+'Vida Digna'!K173</f>
        <v>0.2508139534883721</v>
      </c>
      <c r="H83" s="13">
        <f>+'Vida Digna'!L173</f>
        <v>0.2508139534883721</v>
      </c>
      <c r="I83" s="13">
        <f>+'Vida Digna'!U173</f>
        <v>0.54416666666666669</v>
      </c>
      <c r="J83" s="13">
        <f>+'Vida Digna'!X173</f>
        <v>0.33380620155038759</v>
      </c>
      <c r="K83" s="13">
        <f>+'Vida Digna'!Y173</f>
        <v>0.47009302325581392</v>
      </c>
      <c r="L83" s="34">
        <f>+'Vida Digna'!Z173</f>
        <v>3.3399534883720931E-2</v>
      </c>
      <c r="M83" s="34">
        <f>+'Vida Digna'!AA173</f>
        <v>0.45813023255813956</v>
      </c>
      <c r="N83" s="26"/>
      <c r="O83" s="10"/>
      <c r="P83" s="59"/>
    </row>
    <row r="84" spans="2:18" ht="46.95" customHeight="1" x14ac:dyDescent="0.7">
      <c r="B84" s="33" t="s">
        <v>1604</v>
      </c>
      <c r="C84" s="1005"/>
      <c r="D84" s="13">
        <f>+'Vida Digna'!I176</f>
        <v>0.40547619047619043</v>
      </c>
      <c r="E84" s="13">
        <f>+'Vida Digna'!J176</f>
        <v>0.26428571428571429</v>
      </c>
      <c r="F84" s="13">
        <f t="shared" si="15"/>
        <v>0.63182240582800286</v>
      </c>
      <c r="G84" s="13">
        <f>+'Vida Digna'!K176</f>
        <v>0.29269047619047617</v>
      </c>
      <c r="H84" s="13">
        <f>+'Vida Digna'!L176</f>
        <v>0.27214285714285719</v>
      </c>
      <c r="I84" s="13">
        <f>+'Vida Digna'!U176</f>
        <v>0.7850720083791568</v>
      </c>
      <c r="J84" s="13">
        <f>+'Vida Digna'!X176</f>
        <v>0.36753669154228857</v>
      </c>
      <c r="K84" s="13">
        <f>+'Vida Digna'!Y176</f>
        <v>0.50259459843638954</v>
      </c>
      <c r="L84" s="34">
        <f>+'Vida Digna'!Z176</f>
        <v>2.7086664889836534E-2</v>
      </c>
      <c r="M84" s="34">
        <f>+'Vida Digna'!AA176</f>
        <v>0.48307880241648904</v>
      </c>
      <c r="N84" s="26"/>
      <c r="O84" s="10"/>
      <c r="P84" s="59"/>
    </row>
    <row r="85" spans="2:18" ht="58.95" customHeight="1" x14ac:dyDescent="0.7">
      <c r="B85" s="33" t="s">
        <v>1605</v>
      </c>
      <c r="C85" s="1005"/>
      <c r="D85" s="13">
        <f>+'Vida Digna'!I182</f>
        <v>0.25409836065573771</v>
      </c>
      <c r="E85" s="13">
        <f>+'Vida Digna'!J182</f>
        <v>0.25</v>
      </c>
      <c r="F85" s="13">
        <f t="shared" si="15"/>
        <v>0.50537704918032789</v>
      </c>
      <c r="G85" s="13">
        <f>+'Vida Digna'!K182</f>
        <v>0.25409836065573771</v>
      </c>
      <c r="H85" s="13">
        <f>+'Vida Digna'!L182</f>
        <v>0.25</v>
      </c>
      <c r="I85" s="13">
        <f>+'Vida Digna'!U182</f>
        <v>0.57265573770491807</v>
      </c>
      <c r="J85" s="13">
        <f>+'Vida Digna'!X182</f>
        <v>0.25537704918032789</v>
      </c>
      <c r="K85" s="13">
        <f>+'Vida Digna'!Y182</f>
        <v>0.39854098360655738</v>
      </c>
      <c r="L85" s="34">
        <f>+'Vida Digna'!Z182</f>
        <v>2.553770491803279E-2</v>
      </c>
      <c r="M85" s="34">
        <f>+'Vida Digna'!AA182</f>
        <v>0.39854098360655738</v>
      </c>
      <c r="N85" s="26"/>
      <c r="O85" s="10"/>
      <c r="P85" s="59"/>
    </row>
    <row r="86" spans="2:18" ht="54.6" customHeight="1" x14ac:dyDescent="0.7">
      <c r="B86" s="33" t="s">
        <v>1626</v>
      </c>
      <c r="C86" s="1005"/>
      <c r="D86" s="13">
        <f>+'Vida Digna'!I184</f>
        <v>0.25</v>
      </c>
      <c r="E86" s="13">
        <f>+'Vida Digna'!J184</f>
        <v>0.25948888888888888</v>
      </c>
      <c r="F86" s="13">
        <f t="shared" si="15"/>
        <v>0.55990277777777775</v>
      </c>
      <c r="G86" s="13">
        <f>+'Vida Digna'!K184</f>
        <v>0.25</v>
      </c>
      <c r="H86" s="13">
        <f>+'Vida Digna'!L184</f>
        <v>0.25981777777777776</v>
      </c>
      <c r="I86" s="13">
        <f>+'Vida Digna'!U184</f>
        <v>0.98817124735729389</v>
      </c>
      <c r="J86" s="13">
        <f>+'Vida Digna'!X184</f>
        <v>0.30041388888888887</v>
      </c>
      <c r="K86" s="13">
        <f>+'Vida Digna'!Y184</f>
        <v>0.58985694444444436</v>
      </c>
      <c r="L86" s="34">
        <f>+'Vida Digna'!Z184</f>
        <v>3.0235694444444447E-2</v>
      </c>
      <c r="M86" s="34">
        <f>+'Vida Digna'!AA184</f>
        <v>0.5885118055555556</v>
      </c>
      <c r="N86" s="26"/>
      <c r="O86" s="10"/>
      <c r="P86" s="59"/>
    </row>
    <row r="87" spans="2:18" ht="42" customHeight="1" x14ac:dyDescent="0.7">
      <c r="B87" s="33" t="s">
        <v>1607</v>
      </c>
      <c r="C87" s="1005"/>
      <c r="D87" s="13">
        <f>+'Vida Digna'!I187</f>
        <v>0.16762820512820512</v>
      </c>
      <c r="E87" s="13">
        <f>+'Vida Digna'!J187</f>
        <v>0.26798878205128207</v>
      </c>
      <c r="F87" s="13">
        <f t="shared" si="15"/>
        <v>0.65549487179487176</v>
      </c>
      <c r="G87" s="13">
        <f>+'Vida Digna'!K187</f>
        <v>0.1792948717948718</v>
      </c>
      <c r="H87" s="13">
        <f>+'Vida Digna'!L187</f>
        <v>0.26496794871794871</v>
      </c>
      <c r="I87" s="13">
        <f>+'Vida Digna'!U187</f>
        <v>0.63583333333333325</v>
      </c>
      <c r="J87" s="13">
        <f>+'Vida Digna'!X187</f>
        <v>0.38750608974358969</v>
      </c>
      <c r="K87" s="13">
        <f>+'Vida Digna'!Y187</f>
        <v>0.66062019230769231</v>
      </c>
      <c r="L87" s="34">
        <f>+'Vida Digna'!Z187</f>
        <v>1.9255512820512823E-2</v>
      </c>
      <c r="M87" s="34">
        <f>+'Vida Digna'!AA187</f>
        <v>0.71705769230769234</v>
      </c>
      <c r="N87" s="26"/>
      <c r="O87" s="10"/>
      <c r="P87" s="59"/>
    </row>
    <row r="88" spans="2:18" ht="66.599999999999994" customHeight="1" x14ac:dyDescent="0.7">
      <c r="B88" s="31" t="str">
        <f>+'Vida Digna'!B192:C192</f>
        <v xml:space="preserve"> Infancia, Adolescencia y Familia
</v>
      </c>
      <c r="C88" s="1005"/>
      <c r="D88" s="22">
        <f t="shared" ref="D88:G88" si="20">+(D89+D90+D91)/3</f>
        <v>0.23789691874878258</v>
      </c>
      <c r="E88" s="22">
        <f t="shared" si="20"/>
        <v>0.31958568748605082</v>
      </c>
      <c r="F88" s="22">
        <f t="shared" si="15"/>
        <v>0.65956460814799245</v>
      </c>
      <c r="G88" s="23">
        <f t="shared" si="20"/>
        <v>0.18171330652877268</v>
      </c>
      <c r="H88" s="23">
        <f t="shared" ref="H88:I88" si="21">+(H89+H90+H91)/3</f>
        <v>0.28480466761010298</v>
      </c>
      <c r="I88" s="23">
        <f t="shared" si="21"/>
        <v>0.85998305757331173</v>
      </c>
      <c r="J88" s="22">
        <f>+(J89+J90+J91)/3</f>
        <v>0.33997892066194169</v>
      </c>
      <c r="K88" s="22">
        <f>+(K89+K90+K91)/3</f>
        <v>0.57490943495261637</v>
      </c>
      <c r="L88" s="32">
        <f>+(L89+L90+L91)</f>
        <v>0.24110540532107533</v>
      </c>
      <c r="M88" s="32">
        <f>+'Vida Digna'!AA192</f>
        <v>0.52068025504355375</v>
      </c>
      <c r="N88" s="26"/>
      <c r="O88" s="10"/>
      <c r="P88" s="59"/>
    </row>
    <row r="89" spans="2:18" ht="39.6" customHeight="1" x14ac:dyDescent="0.7">
      <c r="B89" s="33" t="s">
        <v>1609</v>
      </c>
      <c r="C89" s="1005"/>
      <c r="D89" s="13">
        <f>+'Vida Digna'!I193</f>
        <v>0.23879427591508487</v>
      </c>
      <c r="E89" s="13">
        <f>+'Vida Digna'!J193</f>
        <v>0.33623578341513416</v>
      </c>
      <c r="F89" s="13">
        <f t="shared" si="15"/>
        <v>0.66864561950378887</v>
      </c>
      <c r="G89" s="13">
        <f>+'Vida Digna'!K193</f>
        <v>0.11410989888238424</v>
      </c>
      <c r="H89" s="13">
        <f>+'Vida Digna'!L193</f>
        <v>0.33924147004908045</v>
      </c>
      <c r="I89" s="13">
        <f>+'Vida Digna'!U193</f>
        <v>0.85769523809523796</v>
      </c>
      <c r="J89" s="13">
        <f>+'Vida Digna'!X193</f>
        <v>0.33240983608865465</v>
      </c>
      <c r="K89" s="13">
        <f>+'Vida Digna'!Y193</f>
        <v>0.48263833979573734</v>
      </c>
      <c r="L89" s="34">
        <f>+'Vida Digna'!Z193</f>
        <v>8.0094974636120198E-2</v>
      </c>
      <c r="M89" s="34">
        <f>+'Vida Digna'!AA193</f>
        <v>0.48517019564611369</v>
      </c>
      <c r="N89" s="26"/>
      <c r="O89" s="10"/>
      <c r="P89" s="59"/>
    </row>
    <row r="90" spans="2:18" ht="53.4" customHeight="1" x14ac:dyDescent="0.7">
      <c r="B90" s="33" t="s">
        <v>1627</v>
      </c>
      <c r="C90" s="1005"/>
      <c r="D90" s="13">
        <f>+'Vida Digna'!I198</f>
        <v>0.31944444444444442</v>
      </c>
      <c r="E90" s="13">
        <f>+'Vida Digna'!J198</f>
        <v>0.34074074074074073</v>
      </c>
      <c r="F90" s="13">
        <f t="shared" si="15"/>
        <v>0.59807581018518519</v>
      </c>
      <c r="G90" s="13">
        <f>+'Vida Digna'!K198</f>
        <v>0.27361111111111114</v>
      </c>
      <c r="H90" s="13">
        <f>+'Vida Digna'!L198</f>
        <v>0.2338888888888889</v>
      </c>
      <c r="I90" s="13">
        <f>+'Vida Digna'!U198</f>
        <v>0.73499404761904763</v>
      </c>
      <c r="J90" s="13">
        <f>+'Vida Digna'!X198</f>
        <v>0.25733506944444445</v>
      </c>
      <c r="K90" s="13">
        <f>+'Vida Digna'!Y198</f>
        <v>0.50826215277777775</v>
      </c>
      <c r="L90" s="34">
        <f>+'Vida Digna'!Z198</f>
        <v>5.0629340277777775E-2</v>
      </c>
      <c r="M90" s="34">
        <f>+'Vida Digna'!AA198</f>
        <v>0.38512569444444444</v>
      </c>
      <c r="N90" s="26"/>
      <c r="O90" s="10"/>
      <c r="P90" s="59"/>
    </row>
    <row r="91" spans="2:18" ht="48.6" customHeight="1" x14ac:dyDescent="0.7">
      <c r="B91" s="36" t="s">
        <v>1628</v>
      </c>
      <c r="C91" s="1006"/>
      <c r="D91" s="37">
        <f>+'Vida Digna'!I203</f>
        <v>0.1554520358868185</v>
      </c>
      <c r="E91" s="37">
        <f>+'Vida Digna'!J203</f>
        <v>0.28178053830227745</v>
      </c>
      <c r="F91" s="37">
        <f t="shared" si="15"/>
        <v>0.7119723947550034</v>
      </c>
      <c r="G91" s="37">
        <f>+'Vida Digna'!K203</f>
        <v>0.15741890959282262</v>
      </c>
      <c r="H91" s="37">
        <f>+'Vida Digna'!L203</f>
        <v>0.28128364389233956</v>
      </c>
      <c r="I91" s="37">
        <f>+'Vida Digna'!U203</f>
        <v>0.98725988700564971</v>
      </c>
      <c r="J91" s="37">
        <f>+'Vida Digna'!X203</f>
        <v>0.43019185645272601</v>
      </c>
      <c r="K91" s="37">
        <f>+'Vida Digna'!Y203</f>
        <v>0.73382781228433402</v>
      </c>
      <c r="L91" s="38">
        <f>+'Vida Digna'!Z203</f>
        <v>0.11038109040717736</v>
      </c>
      <c r="M91" s="38">
        <f>+'Vida Digna'!AA203</f>
        <v>0.72725493443754319</v>
      </c>
      <c r="N91" s="26"/>
      <c r="O91" s="10"/>
      <c r="P91" s="59"/>
    </row>
    <row r="92" spans="2:18" ht="120" customHeight="1" x14ac:dyDescent="0.7">
      <c r="B92" s="28" t="str">
        <f>+'Desarrollo Economico'!B3:B3</f>
        <v xml:space="preserve"> DESARROLLO ECONÓMICO EQUITATIVO
</v>
      </c>
      <c r="C92" s="1004">
        <v>0.15</v>
      </c>
      <c r="D92" s="29">
        <f>+'Desarrollo Economico'!I3</f>
        <v>0.25743535350812591</v>
      </c>
      <c r="E92" s="29">
        <f>+'Desarrollo Economico'!J3</f>
        <v>0.30996708312904808</v>
      </c>
      <c r="F92" s="29">
        <f t="shared" si="15"/>
        <v>0.54819427564280709</v>
      </c>
      <c r="G92" s="29">
        <f>+'Desarrollo Economico'!K3</f>
        <v>0.19244539710966052</v>
      </c>
      <c r="H92" s="29">
        <f>+'Desarrollo Economico'!L3</f>
        <v>0.29997897073411611</v>
      </c>
      <c r="I92" s="715">
        <f>+'Desarrollo Economico'!U3</f>
        <v>0.55594684768286784</v>
      </c>
      <c r="J92" s="29">
        <f>+'Desarrollo Economico'!X3</f>
        <v>0.23822719251375898</v>
      </c>
      <c r="K92" s="29">
        <f>+'Desarrollo Economico'!Y3</f>
        <v>0.39109264677080313</v>
      </c>
      <c r="L92" s="30">
        <f>+'Desarrollo Economico'!Z3</f>
        <v>0.20423570426118634</v>
      </c>
      <c r="M92" s="30">
        <f>+'Desarrollo Economico'!AA3</f>
        <v>0.3787544841412066</v>
      </c>
      <c r="N92" s="26"/>
      <c r="O92" s="10"/>
      <c r="P92" s="59"/>
      <c r="R92" s="14"/>
    </row>
    <row r="93" spans="2:18" ht="78.599999999999994" customHeight="1" x14ac:dyDescent="0.7">
      <c r="B93" s="31" t="str">
        <f>+'Desarrollo Economico'!B4:B4</f>
        <v xml:space="preserve"> Competitividad e innovación
</v>
      </c>
      <c r="C93" s="1005"/>
      <c r="D93" s="22">
        <f t="shared" ref="D93:G93" si="22">+(D94+D95)/2</f>
        <v>0.32500000000000001</v>
      </c>
      <c r="E93" s="22">
        <f t="shared" si="22"/>
        <v>0.28333333333333333</v>
      </c>
      <c r="F93" s="22">
        <f t="shared" si="15"/>
        <v>0.65333333333333332</v>
      </c>
      <c r="G93" s="23">
        <f t="shared" si="22"/>
        <v>0.33750000000000002</v>
      </c>
      <c r="H93" s="23">
        <f t="shared" ref="H93" si="23">+(H94+H95)/2</f>
        <v>0.31874999999999998</v>
      </c>
      <c r="I93" s="23">
        <f>+(I94+I95)/2</f>
        <v>0.42500000000000004</v>
      </c>
      <c r="J93" s="22">
        <f>+(J94+J95)/2</f>
        <v>0.37</v>
      </c>
      <c r="K93" s="22">
        <f>+(K94+K95)/2</f>
        <v>0.48416666666666669</v>
      </c>
      <c r="L93" s="32">
        <f>+(L94+L95)</f>
        <v>0.32100000000000001</v>
      </c>
      <c r="M93" s="32">
        <f>+'Desarrollo Economico'!AA4</f>
        <v>0.44850000000000001</v>
      </c>
      <c r="N93" s="26"/>
      <c r="O93" s="10"/>
      <c r="P93" s="59"/>
    </row>
    <row r="94" spans="2:18" ht="54.6" customHeight="1" x14ac:dyDescent="0.7">
      <c r="B94" s="33" t="s">
        <v>1629</v>
      </c>
      <c r="C94" s="1005"/>
      <c r="D94" s="13">
        <f>+'Desarrollo Economico'!I5</f>
        <v>0.4</v>
      </c>
      <c r="E94" s="13">
        <f>+'Desarrollo Economico'!J5</f>
        <v>0.3</v>
      </c>
      <c r="F94" s="13">
        <f t="shared" si="15"/>
        <v>0.8</v>
      </c>
      <c r="G94" s="13">
        <f>+'Desarrollo Economico'!K5</f>
        <v>0.42499999999999999</v>
      </c>
      <c r="H94" s="13">
        <f>+'Desarrollo Economico'!L5</f>
        <v>0.36249999999999999</v>
      </c>
      <c r="I94" s="13">
        <f>+'Desarrollo Economico'!U5</f>
        <v>0.15</v>
      </c>
      <c r="J94" s="13">
        <f>+'Desarrollo Economico'!X5</f>
        <v>0.5</v>
      </c>
      <c r="K94" s="13">
        <f>+'Desarrollo Economico'!Y5</f>
        <v>0.54500000000000004</v>
      </c>
      <c r="L94" s="34">
        <f>+'Desarrollo Economico'!Z5</f>
        <v>0.18000000000000002</v>
      </c>
      <c r="M94" s="34">
        <f>+'Desarrollo Economico'!AA5</f>
        <v>0.50624999999999998</v>
      </c>
      <c r="N94" s="26"/>
      <c r="O94" s="10"/>
      <c r="P94" s="59"/>
    </row>
    <row r="95" spans="2:18" ht="50.4" customHeight="1" x14ac:dyDescent="0.7">
      <c r="B95" s="33" t="s">
        <v>1630</v>
      </c>
      <c r="C95" s="1005"/>
      <c r="D95" s="13">
        <f>+'Desarrollo Economico'!I11</f>
        <v>0.25</v>
      </c>
      <c r="E95" s="13">
        <f>+'Desarrollo Economico'!J11</f>
        <v>0.26666666666666666</v>
      </c>
      <c r="F95" s="13">
        <f t="shared" si="15"/>
        <v>0.5066666666666666</v>
      </c>
      <c r="G95" s="13">
        <f>+'Desarrollo Economico'!K11</f>
        <v>0.25</v>
      </c>
      <c r="H95" s="13">
        <f>+'Desarrollo Economico'!L11</f>
        <v>0.27500000000000002</v>
      </c>
      <c r="I95" s="13">
        <f>+'Desarrollo Economico'!U11</f>
        <v>0.70000000000000007</v>
      </c>
      <c r="J95" s="13">
        <f>+'Desarrollo Economico'!X11</f>
        <v>0.24</v>
      </c>
      <c r="K95" s="13">
        <f>+'Desarrollo Economico'!Y11</f>
        <v>0.42333333333333334</v>
      </c>
      <c r="L95" s="34">
        <f>+'Desarrollo Economico'!Z11</f>
        <v>0.14099999999999999</v>
      </c>
      <c r="M95" s="34">
        <f>+'Desarrollo Economico'!AA11</f>
        <v>0.41000000000000003</v>
      </c>
      <c r="N95" s="26"/>
      <c r="O95" s="10"/>
      <c r="P95" s="59"/>
    </row>
    <row r="96" spans="2:18" ht="93" customHeight="1" x14ac:dyDescent="0.7">
      <c r="B96" s="31" t="str">
        <f>+'Desarrollo Economico'!B15:B15</f>
        <v xml:space="preserve"> Diversificación Económica
</v>
      </c>
      <c r="C96" s="1005"/>
      <c r="D96" s="22">
        <f t="shared" ref="D96:G96" si="24">+(D97+D98+D99+D100)/4</f>
        <v>0.28770833333333334</v>
      </c>
      <c r="E96" s="22">
        <f t="shared" si="24"/>
        <v>0.34704861111111107</v>
      </c>
      <c r="F96" s="22">
        <f t="shared" si="15"/>
        <v>0.57802777777777781</v>
      </c>
      <c r="G96" s="23">
        <f t="shared" si="24"/>
        <v>0.20433333333333331</v>
      </c>
      <c r="H96" s="23">
        <f t="shared" ref="H96:I96" si="25">+(H97+H98+H99+H100)/4</f>
        <v>0.33291666666666664</v>
      </c>
      <c r="I96" s="23">
        <f t="shared" si="25"/>
        <v>0.71083333333333332</v>
      </c>
      <c r="J96" s="22">
        <f>+(J97+J98+J99+J100)/4</f>
        <v>0.23097916666666671</v>
      </c>
      <c r="K96" s="22">
        <f>+(K97+K98+K99+K100)/4</f>
        <v>0.54716777989821885</v>
      </c>
      <c r="L96" s="32">
        <f>+(L97+L98+L99+L100)</f>
        <v>0.373</v>
      </c>
      <c r="M96" s="32">
        <f>+'Desarrollo Economico'!AA15</f>
        <v>0.64006202290076331</v>
      </c>
      <c r="N96" s="26"/>
      <c r="O96" s="10"/>
      <c r="P96" s="59"/>
    </row>
    <row r="97" spans="2:16" ht="48" customHeight="1" x14ac:dyDescent="0.7">
      <c r="B97" s="33" t="s">
        <v>1631</v>
      </c>
      <c r="C97" s="1005"/>
      <c r="D97" s="13">
        <f>+'Desarrollo Economico'!I16</f>
        <v>0.25</v>
      </c>
      <c r="E97" s="13">
        <f>+'Desarrollo Economico'!J16</f>
        <v>0.21875</v>
      </c>
      <c r="F97" s="13">
        <f t="shared" si="15"/>
        <v>0.65625</v>
      </c>
      <c r="G97" s="13">
        <f>+'Desarrollo Economico'!K16</f>
        <v>0.25</v>
      </c>
      <c r="H97" s="13">
        <f>+'Desarrollo Economico'!L16</f>
        <v>0.22500000000000001</v>
      </c>
      <c r="I97" s="13">
        <f>+'Desarrollo Economico'!U16</f>
        <v>0.81</v>
      </c>
      <c r="J97" s="13">
        <f>+'Desarrollo Economico'!X16</f>
        <v>0.4375</v>
      </c>
      <c r="K97" s="13">
        <f>+'Desarrollo Economico'!Y16</f>
        <v>0.71875</v>
      </c>
      <c r="L97" s="34">
        <f>+'Desarrollo Economico'!Z16</f>
        <v>0.17500000000000002</v>
      </c>
      <c r="M97" s="34">
        <f>+'Desarrollo Economico'!AA16</f>
        <v>0.88749999999999996</v>
      </c>
      <c r="N97" s="26"/>
      <c r="O97" s="10"/>
      <c r="P97" s="59"/>
    </row>
    <row r="98" spans="2:16" ht="48" customHeight="1" x14ac:dyDescent="0.7">
      <c r="B98" s="33" t="s">
        <v>1632</v>
      </c>
      <c r="C98" s="1005"/>
      <c r="D98" s="13">
        <f>+'Desarrollo Economico'!I21</f>
        <v>0.13416666666666666</v>
      </c>
      <c r="E98" s="13">
        <f>+'Desarrollo Economico'!J21</f>
        <v>0.15833333333333333</v>
      </c>
      <c r="F98" s="13">
        <f t="shared" si="15"/>
        <v>0.38750000000000001</v>
      </c>
      <c r="G98" s="13">
        <f>+'Desarrollo Economico'!K21</f>
        <v>0.15733333333333333</v>
      </c>
      <c r="H98" s="13">
        <f>+'Desarrollo Economico'!L21</f>
        <v>0.17666666666666667</v>
      </c>
      <c r="I98" s="13">
        <f>+'Desarrollo Economico'!U21</f>
        <v>0.6166666666666667</v>
      </c>
      <c r="J98" s="13">
        <f>+'Desarrollo Economico'!X21</f>
        <v>0.22916666666666669</v>
      </c>
      <c r="K98" s="13">
        <f>+'Desarrollo Economico'!Y21</f>
        <v>0.44192111959287533</v>
      </c>
      <c r="L98" s="34">
        <f>+'Desarrollo Economico'!Z21</f>
        <v>2.7000000000000003E-2</v>
      </c>
      <c r="M98" s="34">
        <f>+'Desarrollo Economico'!AA21</f>
        <v>0.47687022900763359</v>
      </c>
      <c r="N98" s="26"/>
      <c r="O98" s="10"/>
      <c r="P98" s="59"/>
    </row>
    <row r="99" spans="2:16" ht="48" customHeight="1" x14ac:dyDescent="0.7">
      <c r="B99" s="33" t="s">
        <v>1633</v>
      </c>
      <c r="C99" s="1005"/>
      <c r="D99" s="13">
        <f>+'Desarrollo Economico'!I24</f>
        <v>0.16666666666666666</v>
      </c>
      <c r="E99" s="13">
        <f>+'Desarrollo Economico'!J24</f>
        <v>0.41111111111111115</v>
      </c>
      <c r="F99" s="13">
        <f t="shared" si="15"/>
        <v>0.51836111111111116</v>
      </c>
      <c r="G99" s="13">
        <f>+'Desarrollo Economico'!K24</f>
        <v>4.9999999999999996E-2</v>
      </c>
      <c r="H99" s="13">
        <f>+'Desarrollo Economico'!L24</f>
        <v>0.43999999999999995</v>
      </c>
      <c r="I99" s="13">
        <f>+'Desarrollo Economico'!U24</f>
        <v>0.66666666666666663</v>
      </c>
      <c r="J99" s="13">
        <f>+'Desarrollo Economico'!X24</f>
        <v>0.10725000000000001</v>
      </c>
      <c r="K99" s="13">
        <f>+'Desarrollo Economico'!Y24</f>
        <v>0.52800000000000002</v>
      </c>
      <c r="L99" s="34">
        <f>+'Desarrollo Economico'!Z24</f>
        <v>4.4999999999999998E-2</v>
      </c>
      <c r="M99" s="34">
        <f>+'Desarrollo Economico'!AA24</f>
        <v>0.36</v>
      </c>
      <c r="N99" s="26"/>
      <c r="O99" s="10"/>
      <c r="P99" s="59"/>
    </row>
    <row r="100" spans="2:16" ht="48" customHeight="1" x14ac:dyDescent="0.7">
      <c r="B100" s="33" t="s">
        <v>1634</v>
      </c>
      <c r="C100" s="1005"/>
      <c r="D100" s="13">
        <f>+'Desarrollo Economico'!I28</f>
        <v>0.6</v>
      </c>
      <c r="E100" s="13">
        <f>+'Desarrollo Economico'!J28</f>
        <v>0.6</v>
      </c>
      <c r="F100" s="13">
        <f t="shared" si="15"/>
        <v>0.75</v>
      </c>
      <c r="G100" s="13">
        <f>+'Desarrollo Economico'!K28</f>
        <v>0.36</v>
      </c>
      <c r="H100" s="13">
        <f>+'Desarrollo Economico'!L28</f>
        <v>0.49</v>
      </c>
      <c r="I100" s="13">
        <f>+'Desarrollo Economico'!U28</f>
        <v>0.75</v>
      </c>
      <c r="J100" s="13">
        <f>+'Desarrollo Economico'!X28</f>
        <v>0.15</v>
      </c>
      <c r="K100" s="13">
        <f>+'Desarrollo Economico'!Y28</f>
        <v>0.5</v>
      </c>
      <c r="L100" s="34">
        <f>+'Desarrollo Economico'!Z28</f>
        <v>0.126</v>
      </c>
      <c r="M100" s="34">
        <f>+'Desarrollo Economico'!AA28</f>
        <v>0.75</v>
      </c>
      <c r="N100" s="26"/>
      <c r="O100" s="10"/>
      <c r="P100" s="59"/>
    </row>
    <row r="101" spans="2:16" ht="70.2" customHeight="1" x14ac:dyDescent="0.7">
      <c r="B101" s="31" t="str">
        <f>+'Desarrollo Economico'!B33:B33</f>
        <v xml:space="preserve"> Trabajo Decente y Cierre de Brechas Laborales
</v>
      </c>
      <c r="C101" s="1005"/>
      <c r="D101" s="22">
        <f t="shared" ref="D101:G101" si="26">+(D102+D103+D104)/3</f>
        <v>0.36472934472934471</v>
      </c>
      <c r="E101" s="22">
        <f t="shared" si="26"/>
        <v>0.15683760683760684</v>
      </c>
      <c r="F101" s="22">
        <f t="shared" si="15"/>
        <v>0.44333803418803419</v>
      </c>
      <c r="G101" s="23">
        <f t="shared" si="26"/>
        <v>0.25547008547008548</v>
      </c>
      <c r="H101" s="23">
        <f t="shared" ref="H101:I101" si="27">+(H102+H103+H104)/3</f>
        <v>0.16822649572649573</v>
      </c>
      <c r="I101" s="23">
        <f t="shared" si="27"/>
        <v>0.65670370370370368</v>
      </c>
      <c r="J101" s="22">
        <f>+(J102+J103+J104)/3</f>
        <v>0.28650042735042736</v>
      </c>
      <c r="K101" s="22">
        <f>+(K102+K103+K104)/3</f>
        <v>0.42940754985754981</v>
      </c>
      <c r="L101" s="32">
        <f>+(L102+L103+L104)</f>
        <v>0.23447615384615383</v>
      </c>
      <c r="M101" s="32">
        <f>+'Desarrollo Economico'!AA33</f>
        <v>0.34629205128205121</v>
      </c>
      <c r="N101" s="26"/>
      <c r="O101" s="10"/>
      <c r="P101" s="59"/>
    </row>
    <row r="102" spans="2:16" ht="43.2" customHeight="1" x14ac:dyDescent="0.7">
      <c r="B102" s="33" t="s">
        <v>1635</v>
      </c>
      <c r="C102" s="1005"/>
      <c r="D102" s="13">
        <f>+'Desarrollo Economico'!I34</f>
        <v>8.6111111111111097E-2</v>
      </c>
      <c r="E102" s="13">
        <f>+'Desarrollo Economico'!J34</f>
        <v>8.1666666666666665E-2</v>
      </c>
      <c r="F102" s="13">
        <f t="shared" si="15"/>
        <v>0.18703333333333333</v>
      </c>
      <c r="G102" s="13">
        <f>+'Desarrollo Economico'!K34</f>
        <v>5.0833333333333328E-2</v>
      </c>
      <c r="H102" s="13">
        <f>+'Desarrollo Economico'!L34</f>
        <v>0.11583333333333333</v>
      </c>
      <c r="I102" s="13">
        <f>+'Desarrollo Economico'!U34</f>
        <v>0.49511111111111111</v>
      </c>
      <c r="J102" s="13">
        <f>+'Desarrollo Economico'!X34</f>
        <v>0.10536666666666666</v>
      </c>
      <c r="K102" s="13">
        <f>+'Desarrollo Economico'!Y34</f>
        <v>0.22601111111111108</v>
      </c>
      <c r="L102" s="34">
        <f>+'Desarrollo Economico'!Z34</f>
        <v>4.5942499999999997E-2</v>
      </c>
      <c r="M102" s="34">
        <f>+'Desarrollo Economico'!AA34</f>
        <v>0.16147833333333331</v>
      </c>
      <c r="N102" s="26"/>
      <c r="O102" s="10"/>
      <c r="P102" s="59"/>
    </row>
    <row r="103" spans="2:16" ht="31.2" customHeight="1" x14ac:dyDescent="0.7">
      <c r="B103" s="33" t="s">
        <v>1636</v>
      </c>
      <c r="C103" s="1005"/>
      <c r="D103" s="13">
        <f>+'Desarrollo Economico'!I40</f>
        <v>0.58499999999999996</v>
      </c>
      <c r="E103" s="13">
        <f>+'Desarrollo Economico'!J40</f>
        <v>0.23500000000000001</v>
      </c>
      <c r="F103" s="13">
        <f t="shared" si="15"/>
        <v>0.54375000000000007</v>
      </c>
      <c r="G103" s="13">
        <f>+'Desarrollo Economico'!K40</f>
        <v>0.29249999999999998</v>
      </c>
      <c r="H103" s="13">
        <f>+'Desarrollo Economico'!L40</f>
        <v>0.23500000000000001</v>
      </c>
      <c r="I103" s="13">
        <f>+'Desarrollo Economico'!U40</f>
        <v>1</v>
      </c>
      <c r="J103" s="13">
        <f>+'Desarrollo Economico'!X40</f>
        <v>0.30875000000000002</v>
      </c>
      <c r="K103" s="13">
        <f>+'Desarrollo Economico'!Y40</f>
        <v>0.54374999999999996</v>
      </c>
      <c r="L103" s="34">
        <f>+'Desarrollo Economico'!Z40</f>
        <v>7.7187500000000006E-2</v>
      </c>
      <c r="M103" s="34">
        <f>+'Desarrollo Economico'!AA40</f>
        <v>0.54374999999999996</v>
      </c>
      <c r="N103" s="26"/>
      <c r="O103" s="10"/>
      <c r="P103" s="59"/>
    </row>
    <row r="104" spans="2:16" ht="51.6" customHeight="1" x14ac:dyDescent="0.7">
      <c r="B104" s="33" t="s">
        <v>1637</v>
      </c>
      <c r="C104" s="1005"/>
      <c r="D104" s="13">
        <f>+'Desarrollo Economico'!I43</f>
        <v>0.42307692307692307</v>
      </c>
      <c r="E104" s="13">
        <f>+'Desarrollo Economico'!J43</f>
        <v>0.15384615384615385</v>
      </c>
      <c r="F104" s="13">
        <f t="shared" si="15"/>
        <v>0.59923076923076923</v>
      </c>
      <c r="G104" s="13">
        <f>+'Desarrollo Economico'!K43</f>
        <v>0.42307692307692307</v>
      </c>
      <c r="H104" s="13">
        <f>+'Desarrollo Economico'!L43</f>
        <v>0.15384615384615385</v>
      </c>
      <c r="I104" s="13">
        <f>+'Desarrollo Economico'!U43</f>
        <v>0.47499999999999998</v>
      </c>
      <c r="J104" s="13">
        <f>+'Desarrollo Economico'!X43</f>
        <v>0.44538461538461538</v>
      </c>
      <c r="K104" s="13">
        <f>+'Desarrollo Economico'!Y43</f>
        <v>0.51846153846153842</v>
      </c>
      <c r="L104" s="34">
        <f>+'Desarrollo Economico'!Z43</f>
        <v>0.11134615384615384</v>
      </c>
      <c r="M104" s="34">
        <f>+'Desarrollo Economico'!AA43</f>
        <v>0.51846153846153842</v>
      </c>
      <c r="N104" s="26"/>
      <c r="O104" s="10"/>
      <c r="P104" s="59"/>
    </row>
    <row r="105" spans="2:16" ht="49.8" x14ac:dyDescent="0.7">
      <c r="B105" s="31" t="str">
        <f>+'Desarrollo Economico'!B45:B45</f>
        <v xml:space="preserve"> Economía Popular y Emprendimiento
</v>
      </c>
      <c r="C105" s="1005"/>
      <c r="D105" s="22">
        <f>+(D106+D107+D108+D109)/3</f>
        <v>0.15416666666666667</v>
      </c>
      <c r="E105" s="22">
        <f>+(E106+E107+E108+E109)/4</f>
        <v>0.28135416666666668</v>
      </c>
      <c r="F105" s="22">
        <f t="shared" si="15"/>
        <v>0.45191666666666674</v>
      </c>
      <c r="G105" s="23">
        <f>+(G106+G107+G108+G109)/3</f>
        <v>7.0208333333333331E-2</v>
      </c>
      <c r="H105" s="23">
        <f t="shared" ref="H105" si="28">+(H106+H107+H108+H109)/3</f>
        <v>0.38183333333333341</v>
      </c>
      <c r="I105" s="23">
        <f>+(I106+I107+I108+I109)/4</f>
        <v>0.4605448717948718</v>
      </c>
      <c r="J105" s="22">
        <f>+(J106+J107+J108+J109)/3</f>
        <v>0.17056250000000003</v>
      </c>
      <c r="K105" s="22">
        <f>+(K106+K107+K108+K109)/4</f>
        <v>0.25657812499999999</v>
      </c>
      <c r="L105" s="32">
        <f>+(L106+L107+L108+L109)</f>
        <v>0.11891499999999999</v>
      </c>
      <c r="M105" s="32">
        <f>+'Desarrollo Economico'!AA45</f>
        <v>0.32443500000000003</v>
      </c>
      <c r="N105" s="26"/>
      <c r="O105" s="10"/>
      <c r="P105" s="59"/>
    </row>
    <row r="106" spans="2:16" ht="36" customHeight="1" x14ac:dyDescent="0.7">
      <c r="B106" s="33" t="s">
        <v>1638</v>
      </c>
      <c r="C106" s="1005"/>
      <c r="D106" s="13">
        <f>+'Desarrollo Economico'!I46</f>
        <v>0.21249999999999999</v>
      </c>
      <c r="E106" s="13">
        <f>+'Desarrollo Economico'!J46</f>
        <v>0.32916666666666666</v>
      </c>
      <c r="F106" s="13">
        <f t="shared" si="15"/>
        <v>0.4916666666666667</v>
      </c>
      <c r="G106" s="13">
        <f>+'Desarrollo Economico'!K46</f>
        <v>7.8125E-2</v>
      </c>
      <c r="H106" s="13">
        <f>+'Desarrollo Economico'!L46</f>
        <v>0.27500000000000002</v>
      </c>
      <c r="I106" s="13">
        <f>+'Desarrollo Economico'!U46</f>
        <v>0.6958333333333333</v>
      </c>
      <c r="J106" s="13">
        <f>+'Desarrollo Economico'!X46</f>
        <v>0.16250000000000001</v>
      </c>
      <c r="K106" s="13">
        <f>+'Desarrollo Economico'!Y46</f>
        <v>0.34566666666666662</v>
      </c>
      <c r="L106" s="34">
        <f>+'Desarrollo Economico'!Z46</f>
        <v>1.6406250000000001E-2</v>
      </c>
      <c r="M106" s="34">
        <f>+'Desarrollo Economico'!AA46</f>
        <v>0.31137500000000001</v>
      </c>
      <c r="N106" s="26"/>
      <c r="O106" s="10"/>
      <c r="P106" s="59"/>
    </row>
    <row r="107" spans="2:16" ht="65.400000000000006" customHeight="1" x14ac:dyDescent="0.7">
      <c r="B107" s="33" t="s">
        <v>1639</v>
      </c>
      <c r="C107" s="1005"/>
      <c r="D107" s="13">
        <f>+'Desarrollo Economico'!I54</f>
        <v>0.125</v>
      </c>
      <c r="E107" s="13">
        <f>+'Desarrollo Economico'!J54</f>
        <v>0.34375</v>
      </c>
      <c r="F107" s="13">
        <f t="shared" si="15"/>
        <v>0.42743750000000003</v>
      </c>
      <c r="G107" s="13">
        <f>+'Desarrollo Economico'!K54</f>
        <v>6.25E-2</v>
      </c>
      <c r="H107" s="13">
        <f>+'Desarrollo Economico'!L54</f>
        <v>0.36499999999999999</v>
      </c>
      <c r="I107" s="13">
        <f>+'Desarrollo Economico'!U54</f>
        <v>0.40551282051282056</v>
      </c>
      <c r="J107" s="13">
        <f>+'Desarrollo Economico'!X54</f>
        <v>8.3687499999999998E-2</v>
      </c>
      <c r="K107" s="13">
        <f>+'Desarrollo Economico'!Y54</f>
        <v>0.21131250000000001</v>
      </c>
      <c r="L107" s="34">
        <f>+'Desarrollo Economico'!Z54</f>
        <v>5.8581249999999994E-2</v>
      </c>
      <c r="M107" s="34">
        <f>+'Desarrollo Economico'!AA54</f>
        <v>0.332625</v>
      </c>
      <c r="N107" s="26"/>
      <c r="O107" s="10"/>
      <c r="P107" s="59"/>
    </row>
    <row r="108" spans="2:16" ht="36.6" x14ac:dyDescent="0.7">
      <c r="B108" s="33" t="s">
        <v>1640</v>
      </c>
      <c r="C108" s="1005"/>
      <c r="D108" s="13">
        <f>+'Desarrollo Economico'!I59</f>
        <v>0.125</v>
      </c>
      <c r="E108" s="13">
        <f>+'Desarrollo Economico'!J59</f>
        <v>0.45250000000000001</v>
      </c>
      <c r="F108" s="13">
        <f t="shared" si="15"/>
        <v>0.71799999999999997</v>
      </c>
      <c r="G108" s="13">
        <f>+'Desarrollo Economico'!K59</f>
        <v>7.0000000000000007E-2</v>
      </c>
      <c r="H108" s="13">
        <f>+'Desarrollo Economico'!L59</f>
        <v>0.50550000000000006</v>
      </c>
      <c r="I108" s="13">
        <f>+'Desarrollo Economico'!U59</f>
        <v>0.74083333333333334</v>
      </c>
      <c r="J108" s="13">
        <f>+'Desarrollo Economico'!X59</f>
        <v>0.26550000000000001</v>
      </c>
      <c r="K108" s="13">
        <f>+'Desarrollo Economico'!Y59</f>
        <v>0.46933333333333338</v>
      </c>
      <c r="L108" s="34">
        <f>+'Desarrollo Economico'!Z59</f>
        <v>4.3927500000000001E-2</v>
      </c>
      <c r="M108" s="34">
        <f>+'Desarrollo Economico'!AA59</f>
        <v>0.43390833333333334</v>
      </c>
      <c r="N108" s="26"/>
      <c r="O108" s="10"/>
      <c r="P108" s="59"/>
    </row>
    <row r="109" spans="2:16" ht="46.95" customHeight="1" x14ac:dyDescent="0.7">
      <c r="B109" s="33" t="s">
        <v>1641</v>
      </c>
      <c r="C109" s="1005"/>
      <c r="D109" s="13">
        <f>+'Desarrollo Economico'!I64</f>
        <v>0</v>
      </c>
      <c r="E109" s="13">
        <f>+'Desarrollo Economico'!J64</f>
        <v>0</v>
      </c>
      <c r="F109" s="13">
        <f t="shared" si="15"/>
        <v>0</v>
      </c>
      <c r="G109" s="13">
        <f>+'Desarrollo Economico'!K64</f>
        <v>0</v>
      </c>
      <c r="H109" s="13">
        <f>+'Desarrollo Economico'!L64</f>
        <v>0</v>
      </c>
      <c r="I109" s="13">
        <f>+'Desarrollo Economico'!U64</f>
        <v>0</v>
      </c>
      <c r="J109" s="13">
        <f>+'Desarrollo Economico'!X64</f>
        <v>0</v>
      </c>
      <c r="K109" s="13">
        <f>+'Desarrollo Economico'!Y64</f>
        <v>0</v>
      </c>
      <c r="L109" s="34">
        <f>+'Desarrollo Economico'!Z64</f>
        <v>0</v>
      </c>
      <c r="M109" s="34">
        <f>+'Desarrollo Economico'!AA64</f>
        <v>0</v>
      </c>
      <c r="N109" s="26"/>
      <c r="O109" s="10"/>
      <c r="P109" s="59"/>
    </row>
    <row r="110" spans="2:16" ht="88.95" customHeight="1" x14ac:dyDescent="0.7">
      <c r="B110" s="31" t="str">
        <f>+'Desarrollo Economico'!B67:B67</f>
        <v xml:space="preserve">Turismo Sostenible y Responsable
</v>
      </c>
      <c r="C110" s="1005"/>
      <c r="D110" s="22">
        <f>+(D111+D112+D113+D114+D115)/5</f>
        <v>0.1135</v>
      </c>
      <c r="E110" s="22">
        <f>+(E111+E112+E113+E114+E115)/5</f>
        <v>0.50593420257578892</v>
      </c>
      <c r="F110" s="22">
        <f t="shared" si="15"/>
        <v>0.6744342025757889</v>
      </c>
      <c r="G110" s="23">
        <f>+(G111+G112+G113+G114+G115)/5</f>
        <v>0.20750000000000002</v>
      </c>
      <c r="H110" s="23">
        <f t="shared" ref="H110:I110" si="29">+(H111+H112+H113+H114+H115)/5</f>
        <v>0.47529743197983565</v>
      </c>
      <c r="I110" s="23">
        <f t="shared" si="29"/>
        <v>0.47122222222222226</v>
      </c>
      <c r="J110" s="22">
        <f>+(J111+J112+J113+J114+J115)/5</f>
        <v>0.16850000000000001</v>
      </c>
      <c r="K110" s="22">
        <f>+(K111+K112+K113+K114+K115)/5</f>
        <v>0.35891825495476831</v>
      </c>
      <c r="L110" s="32">
        <f>+(L111+L112+L113+L114+L115)</f>
        <v>8.3350000000000007E-2</v>
      </c>
      <c r="M110" s="32">
        <f>+'Desarrollo Economico'!AA67</f>
        <v>0.26484565594572196</v>
      </c>
      <c r="N110" s="26"/>
      <c r="O110" s="10"/>
      <c r="P110" s="59"/>
    </row>
    <row r="111" spans="2:16" ht="40.950000000000003" customHeight="1" x14ac:dyDescent="0.7">
      <c r="B111" s="33" t="s">
        <v>1642</v>
      </c>
      <c r="C111" s="1005"/>
      <c r="D111" s="13">
        <f>+'Desarrollo Economico'!I68</f>
        <v>0</v>
      </c>
      <c r="E111" s="13">
        <f>+'Desarrollo Economico'!J68</f>
        <v>0.3845486111111111</v>
      </c>
      <c r="F111" s="13">
        <f t="shared" si="15"/>
        <v>0.3845486111111111</v>
      </c>
      <c r="G111" s="13">
        <f>+'Desarrollo Economico'!K68</f>
        <v>0</v>
      </c>
      <c r="H111" s="13">
        <f>+'Desarrollo Economico'!L68</f>
        <v>0.35642361111111109</v>
      </c>
      <c r="I111" s="13">
        <f>+'Desarrollo Economico'!U68</f>
        <v>0.5</v>
      </c>
      <c r="J111" s="13">
        <f>+'Desarrollo Economico'!X68</f>
        <v>0</v>
      </c>
      <c r="K111" s="13">
        <f>+'Desarrollo Economico'!Y68</f>
        <v>0.22812499999999999</v>
      </c>
      <c r="L111" s="34">
        <f>+'Desarrollo Economico'!Z68</f>
        <v>0</v>
      </c>
      <c r="M111" s="34">
        <f>+'Desarrollo Economico'!AA68</f>
        <v>0.16937499999999997</v>
      </c>
      <c r="N111" s="26"/>
      <c r="O111" s="10"/>
      <c r="P111" s="59"/>
    </row>
    <row r="112" spans="2:16" ht="36.6" x14ac:dyDescent="0.7">
      <c r="B112" s="33" t="s">
        <v>1643</v>
      </c>
      <c r="C112" s="1005"/>
      <c r="D112" s="13">
        <f>+'Desarrollo Economico'!I73</f>
        <v>0</v>
      </c>
      <c r="E112" s="13">
        <f>+'Desarrollo Economico'!J73</f>
        <v>0.53803906843450033</v>
      </c>
      <c r="F112" s="13">
        <f t="shared" si="15"/>
        <v>0.53803906843450033</v>
      </c>
      <c r="G112" s="13">
        <f>+'Desarrollo Economico'!K73</f>
        <v>0</v>
      </c>
      <c r="H112" s="13">
        <f>+'Desarrollo Economico'!L73</f>
        <v>0.44564688212140052</v>
      </c>
      <c r="I112" s="13">
        <f>+'Desarrollo Economico'!U73</f>
        <v>0.26027777777777777</v>
      </c>
      <c r="J112" s="13">
        <f>+'Desarrollo Economico'!X73</f>
        <v>0</v>
      </c>
      <c r="K112" s="13">
        <f>+'Desarrollo Economico'!Y73</f>
        <v>0.11091071921828603</v>
      </c>
      <c r="L112" s="34">
        <f>+'Desarrollo Economico'!Z73</f>
        <v>0</v>
      </c>
      <c r="M112" s="34">
        <f>+'Desarrollo Economico'!AA73</f>
        <v>9.9592863061943232E-2</v>
      </c>
      <c r="N112" s="26"/>
      <c r="O112" s="10"/>
      <c r="P112" s="59"/>
    </row>
    <row r="113" spans="2:16" ht="36.6" x14ac:dyDescent="0.7">
      <c r="B113" s="33" t="s">
        <v>1644</v>
      </c>
      <c r="C113" s="1005"/>
      <c r="D113" s="13">
        <f>+'Desarrollo Economico'!I86</f>
        <v>0.23749999999999999</v>
      </c>
      <c r="E113" s="13">
        <f>+'Desarrollo Economico'!J86</f>
        <v>0.23749999999999999</v>
      </c>
      <c r="F113" s="13">
        <f t="shared" si="15"/>
        <v>0.75</v>
      </c>
      <c r="G113" s="13">
        <f>+'Desarrollo Economico'!K86</f>
        <v>0.23749999999999999</v>
      </c>
      <c r="H113" s="13">
        <f>+'Desarrollo Economico'!L86</f>
        <v>0.23749999999999999</v>
      </c>
      <c r="I113" s="13">
        <f>+'Desarrollo Economico'!U86</f>
        <v>0.75</v>
      </c>
      <c r="J113" s="13">
        <f>+'Desarrollo Economico'!X86</f>
        <v>0.51249999999999996</v>
      </c>
      <c r="K113" s="13">
        <f>+'Desarrollo Economico'!Y86</f>
        <v>0.6875</v>
      </c>
      <c r="L113" s="34">
        <f>+'Desarrollo Economico'!Z86</f>
        <v>4.3750000000000004E-2</v>
      </c>
      <c r="M113" s="34">
        <f>+'Desarrollo Economico'!AA86</f>
        <v>0.625</v>
      </c>
      <c r="N113" s="26"/>
      <c r="O113" s="10"/>
      <c r="P113" s="59"/>
    </row>
    <row r="114" spans="2:16" ht="30" customHeight="1" x14ac:dyDescent="0.7">
      <c r="B114" s="33" t="s">
        <v>1645</v>
      </c>
      <c r="C114" s="1005"/>
      <c r="D114" s="13">
        <f>+'Desarrollo Economico'!I91</f>
        <v>0</v>
      </c>
      <c r="E114" s="13">
        <f>+'Desarrollo Economico'!J91</f>
        <v>0.36958333333333332</v>
      </c>
      <c r="F114" s="13">
        <f t="shared" si="15"/>
        <v>0.36958333333333332</v>
      </c>
      <c r="G114" s="13">
        <f>+'Desarrollo Economico'!K91</f>
        <v>0</v>
      </c>
      <c r="H114" s="13">
        <f>+'Desarrollo Economico'!L91</f>
        <v>0.33691666666666664</v>
      </c>
      <c r="I114" s="13">
        <f>+'Desarrollo Economico'!U91</f>
        <v>0.27916666666666667</v>
      </c>
      <c r="J114" s="13">
        <f>+'Desarrollo Economico'!X91</f>
        <v>0</v>
      </c>
      <c r="K114" s="13">
        <f>+'Desarrollo Economico'!Y91</f>
        <v>0.13472222222222222</v>
      </c>
      <c r="L114" s="34">
        <f>+'Desarrollo Economico'!Z91</f>
        <v>0</v>
      </c>
      <c r="M114" s="34">
        <f>+'Desarrollo Economico'!AA91</f>
        <v>4.4444444444444446E-2</v>
      </c>
      <c r="N114" s="26"/>
      <c r="O114" s="10"/>
      <c r="P114" s="59"/>
    </row>
    <row r="115" spans="2:16" ht="59.4" customHeight="1" x14ac:dyDescent="0.7">
      <c r="B115" s="33" t="s">
        <v>1646</v>
      </c>
      <c r="C115" s="1005"/>
      <c r="D115" s="13">
        <f>+'Desarrollo Economico'!I96</f>
        <v>0.33</v>
      </c>
      <c r="E115" s="13">
        <f>+'Desarrollo Economico'!J96</f>
        <v>1</v>
      </c>
      <c r="F115" s="13">
        <v>1</v>
      </c>
      <c r="G115" s="13">
        <f>+'Desarrollo Economico'!K96</f>
        <v>0.8</v>
      </c>
      <c r="H115" s="13">
        <f>+'Desarrollo Economico'!L96</f>
        <v>1</v>
      </c>
      <c r="I115" s="13">
        <f>+'Desarrollo Economico'!U96</f>
        <v>0.56666666666666676</v>
      </c>
      <c r="J115" s="13">
        <f>+'Desarrollo Economico'!X96</f>
        <v>0.33</v>
      </c>
      <c r="K115" s="13">
        <f>+'Desarrollo Economico'!Y96</f>
        <v>0.6333333333333333</v>
      </c>
      <c r="L115" s="34">
        <f>+'Desarrollo Economico'!Z96</f>
        <v>3.9600000000000003E-2</v>
      </c>
      <c r="M115" s="34">
        <f>+'Desarrollo Economico'!AA96</f>
        <v>0.84500000000000008</v>
      </c>
      <c r="N115" s="26"/>
      <c r="O115" s="10"/>
      <c r="P115" s="59"/>
    </row>
    <row r="116" spans="2:16" ht="49.8" x14ac:dyDescent="0.7">
      <c r="B116" s="31" t="str">
        <f>+'Desarrollo Economico'!B100:B100</f>
        <v xml:space="preserve"> Desarrollo Agropecuario 
</v>
      </c>
      <c r="C116" s="1005"/>
      <c r="D116" s="22">
        <f t="shared" ref="D116:G116" si="30">+(D117+D118+D119)/3</f>
        <v>0.17360979649420338</v>
      </c>
      <c r="E116" s="22">
        <f t="shared" si="30"/>
        <v>0.38970610582327403</v>
      </c>
      <c r="F116" s="22">
        <f t="shared" si="15"/>
        <v>0.58398769273582618</v>
      </c>
      <c r="G116" s="23">
        <f t="shared" si="30"/>
        <v>9.382477763087127E-2</v>
      </c>
      <c r="H116" s="23">
        <f t="shared" ref="H116:I116" si="31">+(H117+H118+H119)/3</f>
        <v>0.32245386743248144</v>
      </c>
      <c r="I116" s="23">
        <f t="shared" si="31"/>
        <v>0.44565713605927737</v>
      </c>
      <c r="J116" s="22">
        <f>+(J117+J118+J119)/3</f>
        <v>0.19428158691255218</v>
      </c>
      <c r="K116" s="22">
        <f>+(K117+K118+K119)/3</f>
        <v>0.29018619268508467</v>
      </c>
      <c r="L116" s="32">
        <f>+(L117+L118+L119)</f>
        <v>0.10879627598215055</v>
      </c>
      <c r="M116" s="32">
        <f>+'Desarrollo Economico'!AA100</f>
        <v>0.27532307419212271</v>
      </c>
      <c r="N116" s="26"/>
      <c r="O116" s="10"/>
      <c r="P116" s="59"/>
    </row>
    <row r="117" spans="2:16" ht="54.6" customHeight="1" x14ac:dyDescent="0.7">
      <c r="B117" s="33" t="s">
        <v>1647</v>
      </c>
      <c r="C117" s="1005"/>
      <c r="D117" s="13">
        <f>+'Desarrollo Economico'!I101</f>
        <v>0.17798528579513301</v>
      </c>
      <c r="E117" s="13">
        <f>+'Desarrollo Economico'!J101</f>
        <v>0.28952461799660439</v>
      </c>
      <c r="F117" s="13">
        <f t="shared" si="15"/>
        <v>0.46818902093944537</v>
      </c>
      <c r="G117" s="13">
        <f>+'Desarrollo Economico'!K101</f>
        <v>0.17798528579513301</v>
      </c>
      <c r="H117" s="13">
        <f>+'Desarrollo Economico'!L101</f>
        <v>0.28952461799660439</v>
      </c>
      <c r="I117" s="13">
        <f>+'Desarrollo Economico'!U101</f>
        <v>0.76002855103497502</v>
      </c>
      <c r="J117" s="13">
        <f>+'Desarrollo Economico'!X101</f>
        <v>0.17866440294284094</v>
      </c>
      <c r="K117" s="13">
        <f>+'Desarrollo Economico'!Y101</f>
        <v>0.40000565930956428</v>
      </c>
      <c r="L117" s="34">
        <f>+'Desarrollo Economico'!Z101</f>
        <v>4.4666100735710243E-2</v>
      </c>
      <c r="M117" s="34">
        <f>+'Desarrollo Economico'!AA101</f>
        <v>0.40000565930956422</v>
      </c>
      <c r="N117" s="26"/>
      <c r="O117" s="10"/>
      <c r="P117" s="59"/>
    </row>
    <row r="118" spans="2:16" ht="82.2" customHeight="1" x14ac:dyDescent="0.7">
      <c r="B118" s="33" t="s">
        <v>1648</v>
      </c>
      <c r="C118" s="1005"/>
      <c r="D118" s="13">
        <f>+'Desarrollo Economico'!I107</f>
        <v>9.2844103687477184E-2</v>
      </c>
      <c r="E118" s="13">
        <f>+'Desarrollo Economico'!J107</f>
        <v>0.32959369947321754</v>
      </c>
      <c r="F118" s="13">
        <f t="shared" si="15"/>
        <v>0.48377405726803313</v>
      </c>
      <c r="G118" s="13">
        <f>+'Desarrollo Economico'!K107</f>
        <v>6.5989047097480838E-2</v>
      </c>
      <c r="H118" s="13">
        <f>+'Desarrollo Economico'!L107</f>
        <v>0.26533698430083974</v>
      </c>
      <c r="I118" s="13">
        <f>+'Desarrollo Economico'!U107</f>
        <v>0.37694285714285714</v>
      </c>
      <c r="J118" s="13">
        <f>+'Desarrollo Economico'!X107</f>
        <v>0.15418035779481562</v>
      </c>
      <c r="K118" s="13">
        <f>+'Desarrollo Economico'!Y107</f>
        <v>0.2205529187456898</v>
      </c>
      <c r="L118" s="34">
        <f>+'Desarrollo Economico'!Z107</f>
        <v>5.2880175246440314E-2</v>
      </c>
      <c r="M118" s="34">
        <f>+'Desarrollo Economico'!AA107</f>
        <v>0.20210368747718147</v>
      </c>
      <c r="N118" s="26"/>
      <c r="O118" s="10"/>
      <c r="P118" s="59"/>
    </row>
    <row r="119" spans="2:16" ht="36" customHeight="1" x14ac:dyDescent="0.7">
      <c r="B119" s="33" t="s">
        <v>1649</v>
      </c>
      <c r="C119" s="1005"/>
      <c r="D119" s="13">
        <f>+'Desarrollo Economico'!I117</f>
        <v>0.25</v>
      </c>
      <c r="E119" s="13">
        <f>+'Desarrollo Economico'!J117</f>
        <v>0.55000000000000004</v>
      </c>
      <c r="F119" s="13">
        <f t="shared" si="15"/>
        <v>0.8</v>
      </c>
      <c r="G119" s="13">
        <f>+'Desarrollo Economico'!K117</f>
        <v>3.7499999999999999E-2</v>
      </c>
      <c r="H119" s="13">
        <f>+'Desarrollo Economico'!L117</f>
        <v>0.41250000000000003</v>
      </c>
      <c r="I119" s="13">
        <f>+'Desarrollo Economico'!U117</f>
        <v>0.2</v>
      </c>
      <c r="J119" s="13">
        <f>+'Desarrollo Economico'!X117</f>
        <v>0.25</v>
      </c>
      <c r="K119" s="13">
        <f>+'Desarrollo Economico'!Y117</f>
        <v>0.25</v>
      </c>
      <c r="L119" s="34">
        <f>+'Desarrollo Economico'!Z117</f>
        <v>1.125E-2</v>
      </c>
      <c r="M119" s="34">
        <f>+'Desarrollo Economico'!AA117</f>
        <v>0.33749999999999997</v>
      </c>
      <c r="N119" s="26"/>
      <c r="O119" s="10"/>
      <c r="P119" s="59"/>
    </row>
    <row r="120" spans="2:16" ht="49.8" x14ac:dyDescent="0.7">
      <c r="B120" s="31" t="str">
        <f>+'Desarrollo Economico'!B124:B124</f>
        <v xml:space="preserve">Sistema Integral de Abastecimiento del Distrito
</v>
      </c>
      <c r="C120" s="1005"/>
      <c r="D120" s="22">
        <f t="shared" ref="D120:G120" si="32">+(D121+D122)/2</f>
        <v>0.3833333333333333</v>
      </c>
      <c r="E120" s="22">
        <f t="shared" si="32"/>
        <v>0.20555555555555555</v>
      </c>
      <c r="F120" s="22">
        <f t="shared" si="15"/>
        <v>0.45232222222222218</v>
      </c>
      <c r="G120" s="23">
        <f t="shared" si="32"/>
        <v>0.1958333333333333</v>
      </c>
      <c r="H120" s="23">
        <f t="shared" ref="H120:I120" si="33">+(H121+H122)/2</f>
        <v>0.1958333333333333</v>
      </c>
      <c r="I120" s="23">
        <f t="shared" si="33"/>
        <v>0.72166666666666668</v>
      </c>
      <c r="J120" s="22">
        <f>+(J121+J122)/2</f>
        <v>0.24676666666666666</v>
      </c>
      <c r="K120" s="22">
        <f>+(K121+K122)/2</f>
        <v>0.32858333333333334</v>
      </c>
      <c r="L120" s="32">
        <f>+(L121+L122)</f>
        <v>0.19011249999999999</v>
      </c>
      <c r="M120" s="32">
        <f>+'Desarrollo Economico'!AA124</f>
        <v>0.33523749999999997</v>
      </c>
      <c r="N120" s="26"/>
      <c r="O120" s="10"/>
      <c r="P120" s="59"/>
    </row>
    <row r="121" spans="2:16" ht="66" customHeight="1" x14ac:dyDescent="0.7">
      <c r="B121" s="33" t="s">
        <v>1650</v>
      </c>
      <c r="C121" s="1005"/>
      <c r="D121" s="13">
        <f>+'Desarrollo Economico'!I125</f>
        <v>0.33333333333333331</v>
      </c>
      <c r="E121" s="13">
        <f>+'Desarrollo Economico'!J125</f>
        <v>0.1111111111111111</v>
      </c>
      <c r="F121" s="13">
        <f t="shared" si="15"/>
        <v>0.21111111111111108</v>
      </c>
      <c r="G121" s="13">
        <f>+'Desarrollo Economico'!K125</f>
        <v>0.16666666666666666</v>
      </c>
      <c r="H121" s="13">
        <f>+'Desarrollo Economico'!L125</f>
        <v>0.16666666666666666</v>
      </c>
      <c r="I121" s="13">
        <f>+'Desarrollo Economico'!U125</f>
        <v>0.92999999999999994</v>
      </c>
      <c r="J121" s="13">
        <f>+'Desarrollo Economico'!X125</f>
        <v>9.9999999999999992E-2</v>
      </c>
      <c r="K121" s="13">
        <f>+'Desarrollo Economico'!Y125</f>
        <v>0.21230000000000002</v>
      </c>
      <c r="L121" s="34">
        <f>+'Desarrollo Economico'!Z125</f>
        <v>0.125</v>
      </c>
      <c r="M121" s="34">
        <f>+'Desarrollo Economico'!AA125</f>
        <v>0.32166666666666666</v>
      </c>
      <c r="N121" s="26"/>
      <c r="O121" s="10"/>
      <c r="P121" s="59"/>
    </row>
    <row r="122" spans="2:16" ht="46.95" customHeight="1" x14ac:dyDescent="0.7">
      <c r="B122" s="36" t="s">
        <v>1651</v>
      </c>
      <c r="C122" s="1006"/>
      <c r="D122" s="37">
        <f>+'Desarrollo Economico'!I129</f>
        <v>0.43333333333333335</v>
      </c>
      <c r="E122" s="37">
        <f>+'Desarrollo Economico'!J129</f>
        <v>0.3</v>
      </c>
      <c r="F122" s="37">
        <f t="shared" si="15"/>
        <v>0.69353333333333333</v>
      </c>
      <c r="G122" s="37">
        <f>+'Desarrollo Economico'!K129</f>
        <v>0.22499999999999998</v>
      </c>
      <c r="H122" s="37">
        <f>+'Desarrollo Economico'!L129</f>
        <v>0.22499999999999998</v>
      </c>
      <c r="I122" s="37">
        <f>+'Desarrollo Economico'!U129</f>
        <v>0.51333333333333331</v>
      </c>
      <c r="J122" s="37">
        <f>+'Desarrollo Economico'!X129</f>
        <v>0.39353333333333335</v>
      </c>
      <c r="K122" s="37">
        <f>+'Desarrollo Economico'!Y129</f>
        <v>0.44486666666666669</v>
      </c>
      <c r="L122" s="38">
        <f>+'Desarrollo Economico'!Z129</f>
        <v>6.511249999999999E-2</v>
      </c>
      <c r="M122" s="38">
        <f>+'Desarrollo Economico'!AA129</f>
        <v>0.37595000000000001</v>
      </c>
      <c r="N122" s="26"/>
      <c r="O122" s="10"/>
      <c r="P122" s="59"/>
    </row>
    <row r="123" spans="2:16" ht="120" customHeight="1" x14ac:dyDescent="0.7">
      <c r="B123" s="28" t="str">
        <f>+'Ciudad Conectada'!B3:B3</f>
        <v xml:space="preserve">CARTAGENA CIUDAD CONECTADA Y SOSTENIBLE
</v>
      </c>
      <c r="C123" s="1004">
        <v>0.25</v>
      </c>
      <c r="D123" s="29">
        <f>+'Ciudad Conectada'!I3</f>
        <v>0.22385775913845282</v>
      </c>
      <c r="E123" s="29">
        <f>+'Ciudad Conectada'!J3</f>
        <v>0.23750007608291185</v>
      </c>
      <c r="F123" s="29">
        <f t="shared" si="15"/>
        <v>0.45902395017042064</v>
      </c>
      <c r="G123" s="29">
        <f>+'Ciudad Conectada'!K3</f>
        <v>0.19844971717901827</v>
      </c>
      <c r="H123" s="29">
        <f>+'Ciudad Conectada'!L3</f>
        <v>0.2146543362727274</v>
      </c>
      <c r="I123" s="29">
        <f>+'Ciudad Conectada'!U3</f>
        <v>0.67422125170163039</v>
      </c>
      <c r="J123" s="29">
        <f>+'Ciudad Conectada'!X3</f>
        <v>0.22152387408750876</v>
      </c>
      <c r="K123" s="29">
        <f>+'Ciudad Conectada'!Y3</f>
        <v>0.41935961281116779</v>
      </c>
      <c r="L123" s="30">
        <f>+'Ciudad Conectada'!Z3</f>
        <v>0.18576863791395756</v>
      </c>
      <c r="M123" s="30">
        <f>+'Ciudad Conectada'!AA3</f>
        <v>0.32435261166966489</v>
      </c>
      <c r="N123" s="26"/>
      <c r="O123" s="10"/>
      <c r="P123" s="59"/>
    </row>
    <row r="124" spans="2:16" ht="68.400000000000006" customHeight="1" x14ac:dyDescent="0.7">
      <c r="B124" s="31" t="str">
        <f>+'Ciudad Conectada'!B4:B4</f>
        <v xml:space="preserve"> Ordenamiento del Territorio y espacio público.
</v>
      </c>
      <c r="C124" s="1005"/>
      <c r="D124" s="22">
        <f t="shared" ref="D124:G124" si="34">+(D125+D126)/2</f>
        <v>0.17442942942942941</v>
      </c>
      <c r="E124" s="22">
        <f t="shared" si="34"/>
        <v>0.23004504504504508</v>
      </c>
      <c r="F124" s="22">
        <f t="shared" si="15"/>
        <v>0.46391147747747752</v>
      </c>
      <c r="G124" s="23">
        <f t="shared" si="34"/>
        <v>0.18726443243243246</v>
      </c>
      <c r="H124" s="23">
        <f t="shared" ref="H124:I124" si="35">+(H125+H126)/2</f>
        <v>0.24209005405405412</v>
      </c>
      <c r="I124" s="713">
        <f t="shared" si="35"/>
        <v>0.82489955157452144</v>
      </c>
      <c r="J124" s="64">
        <f>+(J125+J126)/2</f>
        <v>0.23386643243243244</v>
      </c>
      <c r="K124" s="64">
        <f>+(K125+K126)/2</f>
        <v>0.43760520833333327</v>
      </c>
      <c r="L124" s="32">
        <f>+(L125+L126)</f>
        <v>0.22782968756756758</v>
      </c>
      <c r="M124" s="32">
        <f>+'Ciudad Conectada'!AA4</f>
        <v>0.49271867266666669</v>
      </c>
      <c r="N124" s="26"/>
      <c r="O124" s="10"/>
      <c r="P124" s="59"/>
    </row>
    <row r="125" spans="2:16" ht="45.6" customHeight="1" x14ac:dyDescent="0.7">
      <c r="B125" s="33" t="s">
        <v>1652</v>
      </c>
      <c r="C125" s="1005"/>
      <c r="D125" s="13">
        <f>+'Ciudad Conectada'!I5</f>
        <v>0.21777777777777776</v>
      </c>
      <c r="E125" s="13">
        <f>+'Ciudad Conectada'!J5</f>
        <v>0.27000000000000007</v>
      </c>
      <c r="F125" s="13">
        <f t="shared" si="15"/>
        <v>0.49375000000000008</v>
      </c>
      <c r="G125" s="13">
        <f>+'Ciudad Conectada'!K5</f>
        <v>0.28966400000000003</v>
      </c>
      <c r="H125" s="13">
        <f>+'Ciudad Conectada'!L5</f>
        <v>0.31607200000000013</v>
      </c>
      <c r="I125" s="13">
        <f>+'Ciudad Conectada'!U5</f>
        <v>0.64979910314904277</v>
      </c>
      <c r="J125" s="13">
        <f>+'Ciudad Conectada'!X5</f>
        <v>0.22375</v>
      </c>
      <c r="K125" s="13">
        <f>+'Ciudad Conectada'!Y5</f>
        <v>0.3142104166666666</v>
      </c>
      <c r="L125" s="34">
        <f>+'Ciudad Conectada'!Z5</f>
        <v>0.17677380000000001</v>
      </c>
      <c r="M125" s="34">
        <f>+'Ciudad Conectada'!AA5</f>
        <v>0.47245524666666672</v>
      </c>
      <c r="N125" s="26"/>
      <c r="O125" s="10"/>
      <c r="P125" s="59"/>
    </row>
    <row r="126" spans="2:16" ht="41.4" customHeight="1" x14ac:dyDescent="0.7">
      <c r="B126" s="33" t="s">
        <v>1653</v>
      </c>
      <c r="C126" s="1005"/>
      <c r="D126" s="13">
        <f>+'Ciudad Conectada'!I22</f>
        <v>0.13108108108108107</v>
      </c>
      <c r="E126" s="13">
        <f>+'Ciudad Conectada'!J22</f>
        <v>0.19009009009009006</v>
      </c>
      <c r="F126" s="13">
        <f t="shared" si="15"/>
        <v>0.4340729549549549</v>
      </c>
      <c r="G126" s="13">
        <f>+'Ciudad Conectada'!K22</f>
        <v>8.4864864864864872E-2</v>
      </c>
      <c r="H126" s="13">
        <f>+'Ciudad Conectada'!L22</f>
        <v>0.16810810810810811</v>
      </c>
      <c r="I126" s="13">
        <f>+'Ciudad Conectada'!U22</f>
        <v>1</v>
      </c>
      <c r="J126" s="13">
        <f>+'Ciudad Conectada'!X22</f>
        <v>0.24398286486486487</v>
      </c>
      <c r="K126" s="13">
        <f>+'Ciudad Conectada'!Y22</f>
        <v>0.56099999999999994</v>
      </c>
      <c r="L126" s="34">
        <f>+'Ciudad Conectada'!Z22</f>
        <v>5.1055887567567564E-2</v>
      </c>
      <c r="M126" s="34">
        <f>+'Ciudad Conectada'!AA22</f>
        <v>0.54</v>
      </c>
      <c r="N126" s="26"/>
      <c r="O126" s="10"/>
      <c r="P126" s="59"/>
    </row>
    <row r="127" spans="2:16" ht="87" customHeight="1" x14ac:dyDescent="0.7">
      <c r="B127" s="31" t="str">
        <f>+'Ciudad Conectada'!B26:B26</f>
        <v xml:space="preserve"> Control Urbanístico y Territorial
</v>
      </c>
      <c r="C127" s="1005"/>
      <c r="D127" s="22">
        <f t="shared" ref="D127:G127" si="36">+(D128+D129)/2</f>
        <v>0.15714285714285714</v>
      </c>
      <c r="E127" s="22">
        <f t="shared" si="36"/>
        <v>0.12238095238095237</v>
      </c>
      <c r="F127" s="22">
        <f t="shared" si="15"/>
        <v>0.28910714285714284</v>
      </c>
      <c r="G127" s="23">
        <f t="shared" si="36"/>
        <v>0.24285714285714285</v>
      </c>
      <c r="H127" s="23">
        <f t="shared" ref="H127:I127" si="37">+(H128+H129)/2</f>
        <v>0.20867857142857144</v>
      </c>
      <c r="I127" s="713">
        <f t="shared" si="37"/>
        <v>0.66569010416666663</v>
      </c>
      <c r="J127" s="64">
        <f>+(J128+J129)/2</f>
        <v>0.16672619047619047</v>
      </c>
      <c r="K127" s="64">
        <f>+(K128+K129)/2</f>
        <v>0.29979196428571431</v>
      </c>
      <c r="L127" s="32">
        <f>+(L128+L129)</f>
        <v>0.31105357142857143</v>
      </c>
      <c r="M127" s="32">
        <f>+'Ciudad Conectada'!AA26</f>
        <v>0.38297767857142861</v>
      </c>
      <c r="N127" s="26"/>
      <c r="O127" s="10"/>
      <c r="P127" s="59"/>
    </row>
    <row r="128" spans="2:16" ht="45" customHeight="1" x14ac:dyDescent="0.7">
      <c r="B128" s="33" t="s">
        <v>1654</v>
      </c>
      <c r="C128" s="1005"/>
      <c r="D128" s="13">
        <f>+'Ciudad Conectada'!I27</f>
        <v>0.1</v>
      </c>
      <c r="E128" s="13">
        <f>+'Ciudad Conectada'!J27</f>
        <v>6.9999999999999993E-2</v>
      </c>
      <c r="F128" s="13">
        <f t="shared" si="15"/>
        <v>0.16999999999999998</v>
      </c>
      <c r="G128" s="13">
        <f>+'Ciudad Conectada'!K27</f>
        <v>0.375</v>
      </c>
      <c r="H128" s="13">
        <f>+'Ciudad Conectada'!L27</f>
        <v>0.28749999999999998</v>
      </c>
      <c r="I128" s="13">
        <f>+'Ciudad Conectada'!U27</f>
        <v>0.375</v>
      </c>
      <c r="J128" s="13">
        <f>+'Ciudad Conectada'!X27</f>
        <v>0.1</v>
      </c>
      <c r="K128" s="13">
        <f>+'Ciudad Conectada'!Y27</f>
        <v>0.25</v>
      </c>
      <c r="L128" s="34">
        <f>+'Ciudad Conectada'!Z27</f>
        <v>0.28125</v>
      </c>
      <c r="M128" s="34">
        <f>+'Ciudad Conectada'!AA27</f>
        <v>0.42000000000000004</v>
      </c>
      <c r="N128" s="26"/>
      <c r="O128" s="10"/>
      <c r="P128" s="59"/>
    </row>
    <row r="129" spans="2:16" ht="46.2" customHeight="1" x14ac:dyDescent="0.7">
      <c r="B129" s="33" t="s">
        <v>1655</v>
      </c>
      <c r="C129" s="1005"/>
      <c r="D129" s="13">
        <f>+'Ciudad Conectada'!I33</f>
        <v>0.2142857142857143</v>
      </c>
      <c r="E129" s="13">
        <f>+'Ciudad Conectada'!J33</f>
        <v>0.17476190476190476</v>
      </c>
      <c r="F129" s="13">
        <f t="shared" si="15"/>
        <v>0.40821428571428575</v>
      </c>
      <c r="G129" s="13">
        <f>+'Ciudad Conectada'!K33</f>
        <v>0.11071428571428571</v>
      </c>
      <c r="H129" s="13">
        <f>+'Ciudad Conectada'!L33</f>
        <v>0.12985714285714287</v>
      </c>
      <c r="I129" s="13">
        <f>+'Ciudad Conectada'!U33</f>
        <v>0.95638020833333326</v>
      </c>
      <c r="J129" s="13">
        <f>+'Ciudad Conectada'!X33</f>
        <v>0.23345238095238097</v>
      </c>
      <c r="K129" s="13">
        <f>+'Ciudad Conectada'!Y33</f>
        <v>0.34958392857142861</v>
      </c>
      <c r="L129" s="34">
        <f>+'Ciudad Conectada'!Z33</f>
        <v>2.9803571428571429E-2</v>
      </c>
      <c r="M129" s="34">
        <f>+'Ciudad Conectada'!AA33</f>
        <v>0.27191071428571428</v>
      </c>
      <c r="N129" s="26"/>
      <c r="O129" s="10"/>
      <c r="P129" s="59"/>
    </row>
    <row r="130" spans="2:16" ht="55.95" customHeight="1" x14ac:dyDescent="0.7">
      <c r="B130" s="31" t="str">
        <f>+'Ciudad Conectada'!B37:B37</f>
        <v xml:space="preserve"> Cartagena Amigable con el Ambiente 
</v>
      </c>
      <c r="C130" s="1005"/>
      <c r="D130" s="22">
        <f t="shared" ref="D130:G130" si="38">+(D131+D132+D133+D134+D135)/5</f>
        <v>0.17888888888888888</v>
      </c>
      <c r="E130" s="22">
        <f>+(E131+E132+E133+E134+E135)/5</f>
        <v>0.28607638888888887</v>
      </c>
      <c r="F130" s="22">
        <f t="shared" si="15"/>
        <v>0.42368055555555556</v>
      </c>
      <c r="G130" s="23">
        <f t="shared" si="38"/>
        <v>0.13083333333333333</v>
      </c>
      <c r="H130" s="23">
        <f t="shared" ref="H130:I130" si="39">+(H131+H132+H133+H134+H135)/5</f>
        <v>0.2434166666666667</v>
      </c>
      <c r="I130" s="713">
        <f t="shared" si="39"/>
        <v>0.59434992907801421</v>
      </c>
      <c r="J130" s="64">
        <f>+(J131+J132+J133+J134+J135)/5</f>
        <v>0.13760416666666669</v>
      </c>
      <c r="K130" s="64">
        <f>+(K131+K132+K133+K134+K135)/5</f>
        <v>0.36536920529100525</v>
      </c>
      <c r="L130" s="32">
        <f>+(L131+L132+L133+L134+L135)</f>
        <v>8.7734791666666673E-2</v>
      </c>
      <c r="M130" s="32">
        <f>+'Ciudad Conectada'!AA37</f>
        <v>0.26898130833333334</v>
      </c>
      <c r="N130" s="26"/>
      <c r="O130" s="10"/>
      <c r="P130" s="59"/>
    </row>
    <row r="131" spans="2:16" ht="46.2" customHeight="1" x14ac:dyDescent="0.7">
      <c r="B131" s="33" t="s">
        <v>1656</v>
      </c>
      <c r="C131" s="1005"/>
      <c r="D131" s="13">
        <f>+'Ciudad Conectada'!I38</f>
        <v>0.23611111111111108</v>
      </c>
      <c r="E131" s="13">
        <f>+'Ciudad Conectada'!J38</f>
        <v>0.30260416666666662</v>
      </c>
      <c r="F131" s="13">
        <f t="shared" si="15"/>
        <v>0.42735833333333328</v>
      </c>
      <c r="G131" s="13">
        <f>+'Ciudad Conectada'!K38</f>
        <v>6.5833333333333327E-2</v>
      </c>
      <c r="H131" s="13">
        <f>+'Ciudad Conectada'!L38</f>
        <v>8.9583333333333334E-2</v>
      </c>
      <c r="I131" s="13">
        <f>+'Ciudad Conectada'!U38</f>
        <v>0.39454964539007092</v>
      </c>
      <c r="J131" s="13">
        <f>+'Ciudad Conectada'!X38</f>
        <v>0.12475416666666667</v>
      </c>
      <c r="K131" s="13">
        <f>+'Ciudad Conectada'!Y38</f>
        <v>0.21898141534391535</v>
      </c>
      <c r="L131" s="34">
        <f>+'Ciudad Conectada'!Z38</f>
        <v>8.0881249999999998E-3</v>
      </c>
      <c r="M131" s="34">
        <f>+'Ciudad Conectada'!AA38</f>
        <v>8.8300833333333328E-2</v>
      </c>
      <c r="N131" s="26"/>
      <c r="O131" s="10"/>
      <c r="P131" s="59"/>
    </row>
    <row r="132" spans="2:16" ht="34.200000000000003" customHeight="1" x14ac:dyDescent="0.7">
      <c r="B132" s="33" t="s">
        <v>1657</v>
      </c>
      <c r="C132" s="1005"/>
      <c r="D132" s="13">
        <f>+'Ciudad Conectada'!I46</f>
        <v>0.15833333333333333</v>
      </c>
      <c r="E132" s="13">
        <f>+'Ciudad Conectada'!J46</f>
        <v>0.33611111111111108</v>
      </c>
      <c r="F132" s="13">
        <f t="shared" ref="F132:F195" si="40">+J132+E132</f>
        <v>0.44104444444444441</v>
      </c>
      <c r="G132" s="13">
        <f>+'Ciudad Conectada'!K46</f>
        <v>0.15250000000000002</v>
      </c>
      <c r="H132" s="13">
        <f>+'Ciudad Conectada'!L46</f>
        <v>0.34083333333333338</v>
      </c>
      <c r="I132" s="13">
        <f>+'Ciudad Conectada'!U46</f>
        <v>0.68440000000000001</v>
      </c>
      <c r="J132" s="13">
        <f>+'Ciudad Conectada'!X46</f>
        <v>0.10493333333333332</v>
      </c>
      <c r="K132" s="13">
        <f>+'Ciudad Conectada'!Y46</f>
        <v>0.47781444444444438</v>
      </c>
      <c r="L132" s="34">
        <f>+'Ciudad Conectada'!Z46</f>
        <v>2.3980000000000001E-2</v>
      </c>
      <c r="M132" s="34">
        <f>+'Ciudad Conectada'!AA46</f>
        <v>0.43355233333333326</v>
      </c>
      <c r="N132" s="26"/>
      <c r="O132" s="10"/>
      <c r="P132" s="59"/>
    </row>
    <row r="133" spans="2:16" ht="37.200000000000003" customHeight="1" x14ac:dyDescent="0.7">
      <c r="B133" s="33" t="s">
        <v>1658</v>
      </c>
      <c r="C133" s="1005"/>
      <c r="D133" s="13">
        <f>+'Ciudad Conectada'!I50</f>
        <v>0.125</v>
      </c>
      <c r="E133" s="13">
        <f>+'Ciudad Conectada'!J50</f>
        <v>0.22500000000000001</v>
      </c>
      <c r="F133" s="13">
        <f t="shared" si="40"/>
        <v>0.35</v>
      </c>
      <c r="G133" s="13">
        <f>+'Ciudad Conectada'!K50</f>
        <v>0.1</v>
      </c>
      <c r="H133" s="13">
        <f>+'Ciudad Conectada'!L50</f>
        <v>0.22</v>
      </c>
      <c r="I133" s="13">
        <f>+'Ciudad Conectada'!U50</f>
        <v>0.6</v>
      </c>
      <c r="J133" s="13">
        <f>+'Ciudad Conectada'!X50</f>
        <v>0.125</v>
      </c>
      <c r="K133" s="13">
        <f>+'Ciudad Conectada'!Y50</f>
        <v>0.35</v>
      </c>
      <c r="L133" s="34">
        <f>+'Ciudad Conectada'!Z50</f>
        <v>1.4999999999999999E-2</v>
      </c>
      <c r="M133" s="34">
        <f>+'Ciudad Conectada'!AA50</f>
        <v>0.36</v>
      </c>
      <c r="N133" s="26"/>
      <c r="O133" s="10"/>
      <c r="P133" s="59"/>
    </row>
    <row r="134" spans="2:16" ht="31.2" customHeight="1" x14ac:dyDescent="0.7">
      <c r="B134" s="33" t="s">
        <v>1659</v>
      </c>
      <c r="C134" s="1005"/>
      <c r="D134" s="13">
        <f>+'Ciudad Conectada'!I53</f>
        <v>0.20833333333333334</v>
      </c>
      <c r="E134" s="13">
        <f>+'Ciudad Conectada'!J53</f>
        <v>0.25</v>
      </c>
      <c r="F134" s="13">
        <f t="shared" si="40"/>
        <v>0.5</v>
      </c>
      <c r="G134" s="13">
        <f>+'Ciudad Conectada'!K53</f>
        <v>0.20250000000000001</v>
      </c>
      <c r="H134" s="13">
        <f>+'Ciudad Conectada'!L53</f>
        <v>0.24</v>
      </c>
      <c r="I134" s="13">
        <f>+'Ciudad Conectada'!U53</f>
        <v>0.79280000000000006</v>
      </c>
      <c r="J134" s="13">
        <f>+'Ciudad Conectada'!X53</f>
        <v>0.25</v>
      </c>
      <c r="K134" s="13">
        <f>+'Ciudad Conectada'!Y53</f>
        <v>0.5877</v>
      </c>
      <c r="L134" s="34">
        <f>+'Ciudad Conectada'!Z53</f>
        <v>2.4E-2</v>
      </c>
      <c r="M134" s="34">
        <f>+'Ciudad Conectada'!AA53</f>
        <v>0.52783000000000002</v>
      </c>
      <c r="N134" s="26"/>
      <c r="O134" s="10"/>
      <c r="P134" s="59"/>
    </row>
    <row r="135" spans="2:16" ht="49.95" customHeight="1" x14ac:dyDescent="0.7">
      <c r="B135" s="33" t="s">
        <v>1660</v>
      </c>
      <c r="C135" s="1005"/>
      <c r="D135" s="13">
        <f>+'Ciudad Conectada'!I57</f>
        <v>0.16666666666666666</v>
      </c>
      <c r="E135" s="13">
        <f>+'Ciudad Conectada'!J57</f>
        <v>0.31666666666666665</v>
      </c>
      <c r="F135" s="13">
        <f t="shared" si="40"/>
        <v>0.39999999999999997</v>
      </c>
      <c r="G135" s="13">
        <f>+'Ciudad Conectada'!K57</f>
        <v>0.13333333333333333</v>
      </c>
      <c r="H135" s="13">
        <f>+'Ciudad Conectada'!L57</f>
        <v>0.32666666666666666</v>
      </c>
      <c r="I135" s="13">
        <f>+'Ciudad Conectada'!U57</f>
        <v>0.5</v>
      </c>
      <c r="J135" s="13">
        <f>+'Ciudad Conectada'!X57</f>
        <v>8.3333333333333329E-2</v>
      </c>
      <c r="K135" s="13">
        <f>+'Ciudad Conectada'!Y57</f>
        <v>0.19235016666666666</v>
      </c>
      <c r="L135" s="34">
        <f>+'Ciudad Conectada'!Z57</f>
        <v>1.6666666666666666E-2</v>
      </c>
      <c r="M135" s="34">
        <f>+'Ciudad Conectada'!AA57</f>
        <v>0.12694006666666668</v>
      </c>
      <c r="N135" s="26"/>
      <c r="O135" s="10"/>
      <c r="P135" s="59"/>
    </row>
    <row r="136" spans="2:16" ht="82.95" customHeight="1" x14ac:dyDescent="0.7">
      <c r="B136" s="31" t="str">
        <f>+'Ciudad Conectada'!B60:B60</f>
        <v xml:space="preserve"> Cartagena Adaptada al Clima y Resiliente a los Desastres
</v>
      </c>
      <c r="C136" s="1005"/>
      <c r="D136" s="22">
        <f t="shared" ref="D136:G136" si="41">+(D137+D138+D139+D140+D141+D142)/6</f>
        <v>0.25786840977058367</v>
      </c>
      <c r="E136" s="22">
        <f t="shared" si="41"/>
        <v>0.2488091316895665</v>
      </c>
      <c r="F136" s="22">
        <f t="shared" si="40"/>
        <v>0.59632768509323986</v>
      </c>
      <c r="G136" s="23">
        <f t="shared" si="41"/>
        <v>0.23061672626890017</v>
      </c>
      <c r="H136" s="23">
        <f t="shared" ref="H136:I136" si="42">+(H137+H138+H139+H140+H141+H142)/6</f>
        <v>0.24748337411380886</v>
      </c>
      <c r="I136" s="713">
        <f t="shared" si="42"/>
        <v>0.65382407407407417</v>
      </c>
      <c r="J136" s="11">
        <f>+(J137+J138+J139+J140+J141+J142)/6</f>
        <v>0.34751855340367338</v>
      </c>
      <c r="K136" s="11">
        <f>+(K137+K138+K139+K140+K141+K142)/6</f>
        <v>0.55181730734560563</v>
      </c>
      <c r="L136" s="32">
        <f>+(L137+L138+L139+L140+L141+L142)</f>
        <v>0.30808632226094745</v>
      </c>
      <c r="M136" s="32">
        <f>+'Ciudad Conectada'!AA60</f>
        <v>0.49235551802021066</v>
      </c>
      <c r="N136" s="26"/>
      <c r="O136" s="10"/>
      <c r="P136" s="59"/>
    </row>
    <row r="137" spans="2:16" ht="42" customHeight="1" x14ac:dyDescent="0.7">
      <c r="B137" s="33" t="s">
        <v>1661</v>
      </c>
      <c r="C137" s="1005"/>
      <c r="D137" s="13">
        <f>+'Ciudad Conectada'!I61</f>
        <v>0.33333333333333331</v>
      </c>
      <c r="E137" s="13">
        <f>+'Ciudad Conectada'!J61</f>
        <v>0.29166666666666663</v>
      </c>
      <c r="F137" s="13">
        <f t="shared" si="40"/>
        <v>0.59166666666666656</v>
      </c>
      <c r="G137" s="13">
        <f>+'Ciudad Conectada'!K61</f>
        <v>9.9999999999999992E-2</v>
      </c>
      <c r="H137" s="13">
        <f>+'Ciudad Conectada'!L61</f>
        <v>0.27499999999999997</v>
      </c>
      <c r="I137" s="13">
        <f>+'Ciudad Conectada'!U61</f>
        <v>0.58750000000000002</v>
      </c>
      <c r="J137" s="13">
        <f>+'Ciudad Conectada'!X61</f>
        <v>0.3</v>
      </c>
      <c r="K137" s="13">
        <f>+'Ciudad Conectada'!Y61</f>
        <v>0.47916666666666669</v>
      </c>
      <c r="L137" s="34">
        <f>+'Ciudad Conectada'!Z61</f>
        <v>8.9999999999999993E-3</v>
      </c>
      <c r="M137" s="34">
        <f>+'Ciudad Conectada'!AA61</f>
        <v>0.23749999999999999</v>
      </c>
      <c r="N137" s="26"/>
      <c r="O137" s="10"/>
      <c r="P137" s="59"/>
    </row>
    <row r="138" spans="2:16" ht="40.950000000000003" customHeight="1" x14ac:dyDescent="0.7">
      <c r="B138" s="33" t="s">
        <v>1662</v>
      </c>
      <c r="C138" s="1005"/>
      <c r="D138" s="13">
        <f>+'Ciudad Conectada'!I64</f>
        <v>0.23295454545454547</v>
      </c>
      <c r="E138" s="13">
        <f>+'Ciudad Conectada'!J64</f>
        <v>0.25568181818181818</v>
      </c>
      <c r="F138" s="13">
        <f t="shared" si="40"/>
        <v>0.57738636363636364</v>
      </c>
      <c r="G138" s="13">
        <f>+'Ciudad Conectada'!K64</f>
        <v>0.22954545454545455</v>
      </c>
      <c r="H138" s="13">
        <f>+'Ciudad Conectada'!L64</f>
        <v>0.25681818181818178</v>
      </c>
      <c r="I138" s="13">
        <f>+'Ciudad Conectada'!U64</f>
        <v>0.82833333333333337</v>
      </c>
      <c r="J138" s="13">
        <f>+'Ciudad Conectada'!X64</f>
        <v>0.32170454545454552</v>
      </c>
      <c r="K138" s="13">
        <f>+'Ciudad Conectada'!Y64</f>
        <v>0.60693181818181818</v>
      </c>
      <c r="L138" s="34">
        <f>+'Ciudad Conectada'!Z64</f>
        <v>4.8156818181818176E-2</v>
      </c>
      <c r="M138" s="34">
        <f>+'Ciudad Conectada'!AA64</f>
        <v>0.61281818181818182</v>
      </c>
      <c r="N138" s="26"/>
      <c r="O138" s="10"/>
      <c r="P138" s="59"/>
    </row>
    <row r="139" spans="2:16" ht="38.4" customHeight="1" x14ac:dyDescent="0.7">
      <c r="B139" s="33" t="s">
        <v>1663</v>
      </c>
      <c r="C139" s="1005"/>
      <c r="D139" s="13">
        <f>+'Ciudad Conectada'!I69</f>
        <v>0.26306543697848045</v>
      </c>
      <c r="E139" s="13">
        <f>+'Ciudad Conectada'!J69</f>
        <v>0.29907773386034253</v>
      </c>
      <c r="F139" s="13">
        <f t="shared" si="40"/>
        <v>0.68522178304786996</v>
      </c>
      <c r="G139" s="13">
        <f>+'Ciudad Conectada'!K69</f>
        <v>0.30629776021080368</v>
      </c>
      <c r="H139" s="13">
        <f>+'Ciudad Conectada'!L69</f>
        <v>0.31665349143610011</v>
      </c>
      <c r="I139" s="13">
        <f>+'Ciudad Conectada'!U69</f>
        <v>0.94444444444444453</v>
      </c>
      <c r="J139" s="13">
        <f>+'Ciudad Conectada'!X69</f>
        <v>0.38614404918752743</v>
      </c>
      <c r="K139" s="13">
        <f>+'Ciudad Conectada'!Y69</f>
        <v>0.74396135265700469</v>
      </c>
      <c r="L139" s="34">
        <f>+'Ciudad Conectada'!Z69</f>
        <v>5.2982213438735173E-2</v>
      </c>
      <c r="M139" s="34">
        <f>+'Ciudad Conectada'!AA69</f>
        <v>0.68840579710144922</v>
      </c>
      <c r="N139" s="26"/>
      <c r="O139" s="10"/>
      <c r="P139" s="59"/>
    </row>
    <row r="140" spans="2:16" ht="37.200000000000003" customHeight="1" x14ac:dyDescent="0.7">
      <c r="B140" s="33" t="s">
        <v>1664</v>
      </c>
      <c r="C140" s="1005"/>
      <c r="D140" s="13">
        <f>+'Ciudad Conectada'!I73</f>
        <v>0.25</v>
      </c>
      <c r="E140" s="13">
        <f>+'Ciudad Conectada'!J73</f>
        <v>0.25</v>
      </c>
      <c r="F140" s="13">
        <f t="shared" si="40"/>
        <v>0.60297701149425298</v>
      </c>
      <c r="G140" s="13">
        <f>+'Ciudad Conectada'!K73</f>
        <v>0.25</v>
      </c>
      <c r="H140" s="13">
        <f>+'Ciudad Conectada'!L73</f>
        <v>0.25</v>
      </c>
      <c r="I140" s="13">
        <f>+'Ciudad Conectada'!U73</f>
        <v>0.52266666666666672</v>
      </c>
      <c r="J140" s="13">
        <f>+'Ciudad Conectada'!X73</f>
        <v>0.35297701149425292</v>
      </c>
      <c r="K140" s="13">
        <f>+'Ciudad Conectada'!Y73</f>
        <v>0.56870114942528727</v>
      </c>
      <c r="L140" s="34">
        <f>+'Ciudad Conectada'!Z73</f>
        <v>5.4475862068965514E-2</v>
      </c>
      <c r="M140" s="34">
        <f>+'Ciudad Conectada'!AA73</f>
        <v>0.48293103448275865</v>
      </c>
      <c r="N140" s="26"/>
      <c r="O140" s="10"/>
      <c r="P140" s="59"/>
    </row>
    <row r="141" spans="2:16" ht="31.2" customHeight="1" x14ac:dyDescent="0.7">
      <c r="B141" s="33" t="s">
        <v>1665</v>
      </c>
      <c r="C141" s="1005"/>
      <c r="D141" s="13">
        <f>+'Ciudad Conectada'!I77</f>
        <v>0.14285714285714285</v>
      </c>
      <c r="E141" s="13">
        <f>+'Ciudad Conectada'!J77</f>
        <v>0.17142857142857143</v>
      </c>
      <c r="F141" s="13">
        <f t="shared" si="40"/>
        <v>0.2857142857142857</v>
      </c>
      <c r="G141" s="13">
        <f>+'Ciudad Conectada'!K77</f>
        <v>0.14285714285714285</v>
      </c>
      <c r="H141" s="13">
        <f>+'Ciudad Conectada'!L77</f>
        <v>0.17142857142857143</v>
      </c>
      <c r="I141" s="13">
        <f>+'Ciudad Conectada'!U77</f>
        <v>0.6</v>
      </c>
      <c r="J141" s="13">
        <f>+'Ciudad Conectada'!X77</f>
        <v>0.1142857142857143</v>
      </c>
      <c r="K141" s="13">
        <f>+'Ciudad Conectada'!Y77</f>
        <v>0.21714285714285714</v>
      </c>
      <c r="L141" s="34">
        <f>+'Ciudad Conectada'!Z77</f>
        <v>2.8571428571428574E-2</v>
      </c>
      <c r="M141" s="34">
        <f>+'Ciudad Conectada'!AA77</f>
        <v>0.21714285714285714</v>
      </c>
      <c r="N141" s="26"/>
      <c r="O141" s="10"/>
      <c r="P141" s="59"/>
    </row>
    <row r="142" spans="2:16" ht="48.6" customHeight="1" x14ac:dyDescent="0.7">
      <c r="B142" s="33" t="s">
        <v>1666</v>
      </c>
      <c r="C142" s="1005"/>
      <c r="D142" s="13">
        <f>+'Ciudad Conectada'!I79</f>
        <v>0.32500000000000001</v>
      </c>
      <c r="E142" s="13">
        <f>+'Ciudad Conectada'!J79</f>
        <v>0.22500000000000001</v>
      </c>
      <c r="F142" s="13">
        <f t="shared" si="40"/>
        <v>0.83499999999999996</v>
      </c>
      <c r="G142" s="13">
        <f>+'Ciudad Conectada'!K79</f>
        <v>0.35499999999999998</v>
      </c>
      <c r="H142" s="13">
        <f>+'Ciudad Conectada'!L79</f>
        <v>0.21499999999999997</v>
      </c>
      <c r="I142" s="13">
        <f>+'Ciudad Conectada'!U79</f>
        <v>0.43999999999999995</v>
      </c>
      <c r="J142" s="13">
        <f>+'Ciudad Conectada'!X79</f>
        <v>0.61</v>
      </c>
      <c r="K142" s="13">
        <f>+'Ciudad Conectada'!Y79</f>
        <v>0.69500000000000006</v>
      </c>
      <c r="L142" s="34">
        <f>+'Ciudad Conectada'!Z79</f>
        <v>0.1149</v>
      </c>
      <c r="M142" s="34">
        <f>+'Ciudad Conectada'!AA79</f>
        <v>0.81699999999999995</v>
      </c>
      <c r="N142" s="26"/>
      <c r="O142" s="10"/>
      <c r="P142" s="59"/>
    </row>
    <row r="143" spans="2:16" ht="82.95" customHeight="1" x14ac:dyDescent="0.7">
      <c r="B143" s="31" t="str">
        <f>+'Ciudad Conectada'!B82:B82</f>
        <v xml:space="preserve">Ciudad Histórica y Patrimonial
</v>
      </c>
      <c r="C143" s="1005"/>
      <c r="D143" s="22">
        <f t="shared" ref="D143:G143" si="43">+(D144+D145+D146)/3</f>
        <v>0.23703703703703705</v>
      </c>
      <c r="E143" s="22">
        <f t="shared" si="43"/>
        <v>0.31190476190476191</v>
      </c>
      <c r="F143" s="22">
        <f t="shared" si="40"/>
        <v>0.46315317460317462</v>
      </c>
      <c r="G143" s="23">
        <f t="shared" si="43"/>
        <v>0.17777777777777778</v>
      </c>
      <c r="H143" s="23">
        <f t="shared" ref="H143:I143" si="44">+(H144+H145+H146)/3</f>
        <v>0.25569444444444445</v>
      </c>
      <c r="I143" s="713">
        <f t="shared" si="44"/>
        <v>0.38011587301587296</v>
      </c>
      <c r="J143" s="11">
        <f>+(J144+J145+J146)/3</f>
        <v>0.15124841269841269</v>
      </c>
      <c r="K143" s="11">
        <f>+(K144+K145+K146)/3</f>
        <v>0.24555527210884354</v>
      </c>
      <c r="L143" s="58">
        <f>+(L144+L145+L146)</f>
        <v>6.376682142857143E-2</v>
      </c>
      <c r="M143" s="58">
        <f>+'Ciudad Conectada'!AA82</f>
        <v>0.14846144642857145</v>
      </c>
      <c r="N143" s="26"/>
      <c r="O143" s="10"/>
      <c r="P143" s="59"/>
    </row>
    <row r="144" spans="2:16" ht="79.2" customHeight="1" x14ac:dyDescent="0.7">
      <c r="B144" s="33" t="s">
        <v>1667</v>
      </c>
      <c r="C144" s="1005"/>
      <c r="D144" s="13">
        <f>+'Ciudad Conectada'!I83</f>
        <v>0.21111111111111111</v>
      </c>
      <c r="E144" s="13">
        <f>+'Ciudad Conectada'!J83</f>
        <v>0.39404761904761904</v>
      </c>
      <c r="F144" s="13">
        <f t="shared" si="40"/>
        <v>0.47279285714285713</v>
      </c>
      <c r="G144" s="13">
        <f>+'Ciudad Conectada'!K83</f>
        <v>0.15833333333333333</v>
      </c>
      <c r="H144" s="13">
        <f>+'Ciudad Conectada'!L83</f>
        <v>0.29833333333333339</v>
      </c>
      <c r="I144" s="13">
        <f>+'Ciudad Conectada'!U83</f>
        <v>0.48701428571428568</v>
      </c>
      <c r="J144" s="13">
        <f>+'Ciudad Conectada'!X83</f>
        <v>7.874523809523809E-2</v>
      </c>
      <c r="K144" s="13">
        <f>+'Ciudad Conectada'!Y83</f>
        <v>0.1987158163265306</v>
      </c>
      <c r="L144" s="34">
        <f>+'Ciudad Conectada'!Z83</f>
        <v>2.6266821428571428E-2</v>
      </c>
      <c r="M144" s="34">
        <f>+'Ciudad Conectada'!AA83</f>
        <v>0.19005321428571428</v>
      </c>
      <c r="N144" s="26"/>
      <c r="O144" s="10"/>
      <c r="P144" s="59"/>
    </row>
    <row r="145" spans="2:16" ht="88.2" customHeight="1" x14ac:dyDescent="0.7">
      <c r="B145" s="33" t="s">
        <v>1668</v>
      </c>
      <c r="C145" s="1005"/>
      <c r="D145" s="13">
        <f>+'Ciudad Conectada'!I91</f>
        <v>0.25</v>
      </c>
      <c r="E145" s="13">
        <f>+'Ciudad Conectada'!J91</f>
        <v>0.29166666666666669</v>
      </c>
      <c r="F145" s="13">
        <f t="shared" si="40"/>
        <v>0.29166666666666669</v>
      </c>
      <c r="G145" s="13">
        <f>+'Ciudad Conectada'!K91</f>
        <v>0.125</v>
      </c>
      <c r="H145" s="13">
        <f>+'Ciudad Conectada'!L91</f>
        <v>0.21875</v>
      </c>
      <c r="I145" s="13">
        <f>+'Ciudad Conectada'!U91</f>
        <v>0.15333333333333332</v>
      </c>
      <c r="J145" s="13">
        <f>+'Ciudad Conectada'!X91</f>
        <v>0</v>
      </c>
      <c r="K145" s="13">
        <f>+'Ciudad Conectada'!Y91</f>
        <v>3.7949999999999998E-2</v>
      </c>
      <c r="L145" s="34">
        <f>+'Ciudad Conectada'!Z91</f>
        <v>0</v>
      </c>
      <c r="M145" s="34">
        <f>+'Ciudad Conectada'!AA91</f>
        <v>2.8749999999999998E-2</v>
      </c>
      <c r="N145" s="26"/>
      <c r="O145" s="10"/>
      <c r="P145" s="59"/>
    </row>
    <row r="146" spans="2:16" ht="53.4" customHeight="1" x14ac:dyDescent="0.7">
      <c r="B146" s="33" t="s">
        <v>1669</v>
      </c>
      <c r="C146" s="1005"/>
      <c r="D146" s="13">
        <f>+'Ciudad Conectada'!I95</f>
        <v>0.25</v>
      </c>
      <c r="E146" s="13">
        <f>+'Ciudad Conectada'!J95</f>
        <v>0.25</v>
      </c>
      <c r="F146" s="13">
        <f t="shared" si="40"/>
        <v>0.625</v>
      </c>
      <c r="G146" s="13">
        <f>+'Ciudad Conectada'!K95</f>
        <v>0.25</v>
      </c>
      <c r="H146" s="13">
        <f>+'Ciudad Conectada'!L95</f>
        <v>0.25</v>
      </c>
      <c r="I146" s="13">
        <f>+'Ciudad Conectada'!U95</f>
        <v>0.5</v>
      </c>
      <c r="J146" s="13">
        <f>+'Ciudad Conectada'!X95</f>
        <v>0.375</v>
      </c>
      <c r="K146" s="13">
        <f>+'Ciudad Conectada'!Y95</f>
        <v>0.5</v>
      </c>
      <c r="L146" s="34">
        <f>+'Ciudad Conectada'!Z95</f>
        <v>3.7500000000000006E-2</v>
      </c>
      <c r="M146" s="34">
        <f>+'Ciudad Conectada'!AA95</f>
        <v>0.5</v>
      </c>
      <c r="N146" s="26"/>
      <c r="O146" s="10"/>
      <c r="P146" s="59"/>
    </row>
    <row r="147" spans="2:16" ht="104.4" customHeight="1" x14ac:dyDescent="0.7">
      <c r="B147" s="31" t="str">
        <f>+'Ciudad Conectada'!B97:B97</f>
        <v xml:space="preserve">Infraestructura, Movilidad Sostenible y Accesibilidad para Todos
</v>
      </c>
      <c r="C147" s="1005"/>
      <c r="D147" s="22">
        <f>+(D148+D149+D150+D151+D152)/4</f>
        <v>0.32233213614481815</v>
      </c>
      <c r="E147" s="22">
        <f>+(E148+E149+E150+E151+E152)/4</f>
        <v>0.34240337637312757</v>
      </c>
      <c r="F147" s="22">
        <f t="shared" si="40"/>
        <v>0.62945007264164654</v>
      </c>
      <c r="G147" s="23">
        <f>+(G148+G149+G150+G151+G152)/4</f>
        <v>0.24677777425020778</v>
      </c>
      <c r="H147" s="23">
        <f t="shared" ref="H147" si="45">+(H148+H149+H150+H151+H152)/4</f>
        <v>0.32323824614094049</v>
      </c>
      <c r="I147" s="713">
        <f>+(I148+I149+I150+I151+I152)/4</f>
        <v>0.74594215385400586</v>
      </c>
      <c r="J147" s="11">
        <f>+(J148+J149+J150+J151+J152)/4</f>
        <v>0.28704669626851897</v>
      </c>
      <c r="K147" s="11">
        <f>+(K148+K149+K150+K151+K152)/4</f>
        <v>0.56361277650320207</v>
      </c>
      <c r="L147" s="58">
        <f>+(L148+L149+L150+L151+L152)</f>
        <v>0.14970787104537839</v>
      </c>
      <c r="M147" s="58">
        <f>+'Ciudad Conectada'!AA97</f>
        <v>0.20604593930935705</v>
      </c>
      <c r="N147" s="26"/>
      <c r="O147" s="10"/>
      <c r="P147" s="59"/>
    </row>
    <row r="148" spans="2:16" ht="39.6" customHeight="1" x14ac:dyDescent="0.7">
      <c r="B148" s="33" t="s">
        <v>1670</v>
      </c>
      <c r="C148" s="1005"/>
      <c r="D148" s="13">
        <f>+'Ciudad Conectada'!I98</f>
        <v>0</v>
      </c>
      <c r="E148" s="13">
        <f>+'Ciudad Conectada'!J98</f>
        <v>0.2</v>
      </c>
      <c r="F148" s="13">
        <f t="shared" si="40"/>
        <v>0.2</v>
      </c>
      <c r="G148" s="13">
        <f>+'Ciudad Conectada'!K98</f>
        <v>0</v>
      </c>
      <c r="H148" s="13">
        <f>+'Ciudad Conectada'!L98</f>
        <v>0.2</v>
      </c>
      <c r="I148" s="13">
        <f>+'Ciudad Conectada'!U98</f>
        <v>0.5</v>
      </c>
      <c r="J148" s="13">
        <f>+'Ciudad Conectada'!X98</f>
        <v>0</v>
      </c>
      <c r="K148" s="13">
        <f>+'Ciudad Conectada'!Y98</f>
        <v>0.1</v>
      </c>
      <c r="L148" s="34">
        <f>+'Ciudad Conectada'!Z98</f>
        <v>0</v>
      </c>
      <c r="M148" s="34">
        <f>+'Ciudad Conectada'!AA98</f>
        <v>0.1</v>
      </c>
      <c r="N148" s="26"/>
      <c r="O148" s="10"/>
      <c r="P148" s="59"/>
    </row>
    <row r="149" spans="2:16" ht="59.4" customHeight="1" x14ac:dyDescent="0.7">
      <c r="B149" s="33" t="s">
        <v>1671</v>
      </c>
      <c r="C149" s="1005"/>
      <c r="D149" s="13">
        <f>+'Ciudad Conectada'!I100</f>
        <v>0.1875</v>
      </c>
      <c r="E149" s="13">
        <f>+'Ciudad Conectada'!J100</f>
        <v>0.27083333333333331</v>
      </c>
      <c r="F149" s="13">
        <f t="shared" si="40"/>
        <v>0.52593869047619046</v>
      </c>
      <c r="G149" s="13">
        <f>+'Ciudad Conectada'!K100</f>
        <v>0.2</v>
      </c>
      <c r="H149" s="13">
        <f>+'Ciudad Conectada'!L100</f>
        <v>0.26666666666666666</v>
      </c>
      <c r="I149" s="13">
        <f>+'Ciudad Conectada'!U100</f>
        <v>1</v>
      </c>
      <c r="J149" s="13">
        <f>+'Ciudad Conectada'!X100</f>
        <v>0.25510535714285715</v>
      </c>
      <c r="K149" s="13">
        <f>+'Ciudad Conectada'!Y100</f>
        <v>1</v>
      </c>
      <c r="L149" s="34">
        <f>+'Ciudad Conectada'!Z100</f>
        <v>5.427928571428571E-2</v>
      </c>
      <c r="M149" s="34">
        <f>+'Ciudad Conectada'!AA100</f>
        <v>1</v>
      </c>
      <c r="N149" s="26"/>
      <c r="O149" s="10"/>
      <c r="P149" s="59"/>
    </row>
    <row r="150" spans="2:16" ht="54.6" customHeight="1" x14ac:dyDescent="0.7">
      <c r="B150" s="33" t="s">
        <v>1672</v>
      </c>
      <c r="C150" s="1005"/>
      <c r="D150" s="13">
        <f>+'Ciudad Conectada'!I105</f>
        <v>0.25</v>
      </c>
      <c r="E150" s="13">
        <f>+'Ciudad Conectada'!J105</f>
        <v>0</v>
      </c>
      <c r="F150" s="13">
        <f t="shared" si="40"/>
        <v>0</v>
      </c>
      <c r="G150" s="13">
        <f>+'Ciudad Conectada'!K105</f>
        <v>0.25</v>
      </c>
      <c r="H150" s="13">
        <f>+'Ciudad Conectada'!L105</f>
        <v>0</v>
      </c>
      <c r="I150" s="13">
        <f>+'Ciudad Conectada'!U105</f>
        <v>0.41666666666666669</v>
      </c>
      <c r="J150" s="13">
        <f>+'Ciudad Conectada'!X105</f>
        <v>0</v>
      </c>
      <c r="K150" s="13">
        <f>+'Ciudad Conectada'!Y105</f>
        <v>8.3333333333333329E-2</v>
      </c>
      <c r="L150" s="34">
        <f>+'Ciudad Conectada'!Z105</f>
        <v>0</v>
      </c>
      <c r="M150" s="34">
        <f>+'Ciudad Conectada'!AA105</f>
        <v>0.1125</v>
      </c>
      <c r="N150" s="26"/>
      <c r="O150" s="10"/>
      <c r="P150" s="59"/>
    </row>
    <row r="151" spans="2:16" ht="53.4" customHeight="1" x14ac:dyDescent="0.7">
      <c r="B151" s="33" t="s">
        <v>1673</v>
      </c>
      <c r="C151" s="1005"/>
      <c r="D151" s="13">
        <f>+'Ciudad Conectada'!I109</f>
        <v>0.30482468088463477</v>
      </c>
      <c r="E151" s="13">
        <f>+'Ciudad Conectada'!J109</f>
        <v>0.46682705302917799</v>
      </c>
      <c r="F151" s="13">
        <f t="shared" si="40"/>
        <v>0.76368476054732493</v>
      </c>
      <c r="G151" s="13">
        <f>+'Ciudad Conectada'!K109</f>
        <v>0.23385974470770779</v>
      </c>
      <c r="H151" s="13">
        <f>+'Ciudad Conectada'!L109</f>
        <v>0.42850975833209581</v>
      </c>
      <c r="I151" s="13">
        <f>+'Ciudad Conectada'!U109</f>
        <v>0.44932332282323578</v>
      </c>
      <c r="J151" s="13">
        <f>+'Ciudad Conectada'!X109</f>
        <v>0.296857707518147</v>
      </c>
      <c r="K151" s="13">
        <f>+'Ciudad Conectada'!Y109</f>
        <v>0.39500880572026953</v>
      </c>
      <c r="L151" s="34">
        <f>+'Ciudad Conectada'!Z109</f>
        <v>3.3372924902177636E-2</v>
      </c>
      <c r="M151" s="34">
        <f>+'Ciudad Conectada'!AA109</f>
        <v>0.39425968629229646</v>
      </c>
      <c r="N151" s="26"/>
      <c r="O151" s="10"/>
      <c r="P151" s="59"/>
    </row>
    <row r="152" spans="2:16" ht="36.6" customHeight="1" x14ac:dyDescent="0.7">
      <c r="B152" s="33" t="s">
        <v>1674</v>
      </c>
      <c r="C152" s="1005"/>
      <c r="D152" s="13">
        <f>+'Ciudad Conectada'!I121</f>
        <v>0.54700386369463794</v>
      </c>
      <c r="E152" s="13">
        <f>+'Ciudad Conectada'!J121</f>
        <v>0.43195311912999895</v>
      </c>
      <c r="F152" s="13">
        <v>1</v>
      </c>
      <c r="G152" s="13">
        <f>+'Ciudad Conectada'!K121</f>
        <v>0.30325135229312328</v>
      </c>
      <c r="H152" s="13">
        <f>+'Ciudad Conectada'!L121</f>
        <v>0.39777655956499952</v>
      </c>
      <c r="I152" s="13">
        <f>+'Ciudad Conectada'!U121</f>
        <v>0.61777862592612132</v>
      </c>
      <c r="J152" s="13">
        <f>+'Ciudad Conectada'!X121</f>
        <v>0.59622372041307181</v>
      </c>
      <c r="K152" s="13">
        <f>+'Ciudad Conectada'!Y121</f>
        <v>0.67610896695920519</v>
      </c>
      <c r="L152" s="34">
        <f>+'Ciudad Conectada'!Z121</f>
        <v>6.2055660428915041E-2</v>
      </c>
      <c r="M152" s="34">
        <f>+'Ciudad Conectada'!AA121</f>
        <v>0.56765993182756291</v>
      </c>
      <c r="N152" s="26"/>
      <c r="O152" s="10"/>
      <c r="P152" s="59"/>
    </row>
    <row r="153" spans="2:16" ht="49.8" x14ac:dyDescent="0.7">
      <c r="B153" s="31" t="str">
        <f>+'Ciudad Conectada'!B135:B135</f>
        <v xml:space="preserve">Cartagena Ordenada Alrededor del Agua
</v>
      </c>
      <c r="C153" s="1005"/>
      <c r="D153" s="22">
        <f t="shared" ref="D153:G153" si="46">+(D154+D155+D156+D157+D158)/4</f>
        <v>0.23930555555555558</v>
      </c>
      <c r="E153" s="22">
        <f t="shared" si="46"/>
        <v>0.2396428571428571</v>
      </c>
      <c r="F153" s="22">
        <f t="shared" si="40"/>
        <v>0.46629952380952377</v>
      </c>
      <c r="G153" s="23">
        <f t="shared" si="46"/>
        <v>0.17302083333333335</v>
      </c>
      <c r="H153" s="23">
        <f t="shared" ref="H153:I153" si="47">+(H154+H155+H156+H157+H158)/4</f>
        <v>0.24579166666666666</v>
      </c>
      <c r="I153" s="713">
        <f t="shared" si="47"/>
        <v>0.67813675862068967</v>
      </c>
      <c r="J153" s="11">
        <f>+(J154+J155+J156+J157+J158)/4</f>
        <v>0.22665666666666667</v>
      </c>
      <c r="K153" s="11">
        <f>+(K154+K155+K156+K157+K158)/4</f>
        <v>0.41948811111111106</v>
      </c>
      <c r="L153" s="58">
        <f>+(L154+L155+L156+L157+L158)</f>
        <v>0.15220140000000001</v>
      </c>
      <c r="M153" s="58">
        <f>+'Ciudad Conectada'!AA135</f>
        <v>0.36154136749999999</v>
      </c>
      <c r="N153" s="26"/>
      <c r="O153" s="10"/>
      <c r="P153" s="59"/>
    </row>
    <row r="154" spans="2:16" ht="32.4" customHeight="1" x14ac:dyDescent="0.7">
      <c r="B154" s="33" t="s">
        <v>1675</v>
      </c>
      <c r="C154" s="1005"/>
      <c r="D154" s="13">
        <f>+'Ciudad Conectada'!I136</f>
        <v>0.125</v>
      </c>
      <c r="E154" s="13">
        <f>+'Ciudad Conectada'!J136</f>
        <v>0.25</v>
      </c>
      <c r="F154" s="13">
        <f t="shared" si="40"/>
        <v>0.435</v>
      </c>
      <c r="G154" s="13">
        <f>+'Ciudad Conectada'!K136</f>
        <v>5.6250000000000001E-2</v>
      </c>
      <c r="H154" s="13">
        <f>+'Ciudad Conectada'!L136</f>
        <v>0.36249999999999999</v>
      </c>
      <c r="I154" s="13">
        <f>+'Ciudad Conectada'!U136</f>
        <v>0.16515000000000002</v>
      </c>
      <c r="J154" s="13">
        <f>+'Ciudad Conectada'!X136</f>
        <v>0.185</v>
      </c>
      <c r="K154" s="13">
        <f>+'Ciudad Conectada'!Y136</f>
        <v>0.21252499999999999</v>
      </c>
      <c r="L154" s="34">
        <f>+'Ciudad Conectada'!Z136</f>
        <v>1.6650000000000002E-2</v>
      </c>
      <c r="M154" s="34">
        <f>+'Ciudad Conectada'!AA136</f>
        <v>0.12040875000000001</v>
      </c>
      <c r="N154" s="26"/>
      <c r="O154" s="10"/>
      <c r="P154" s="59"/>
    </row>
    <row r="155" spans="2:16" ht="31.95" customHeight="1" x14ac:dyDescent="0.7">
      <c r="B155" s="33" t="s">
        <v>1676</v>
      </c>
      <c r="C155" s="1005"/>
      <c r="D155" s="13">
        <f>+'Ciudad Conectada'!I140</f>
        <v>0.27</v>
      </c>
      <c r="E155" s="13">
        <f>+'Ciudad Conectada'!J140</f>
        <v>0.33333333333333331</v>
      </c>
      <c r="F155" s="13">
        <f t="shared" si="40"/>
        <v>0.53495999999999999</v>
      </c>
      <c r="G155" s="13">
        <f>+'Ciudad Conectada'!K140</f>
        <v>0.22900000000000001</v>
      </c>
      <c r="H155" s="13">
        <f>+'Ciudad Conectada'!L140</f>
        <v>0.26250000000000001</v>
      </c>
      <c r="I155" s="13">
        <f>+'Ciudad Conectada'!U140</f>
        <v>0.971966</v>
      </c>
      <c r="J155" s="13">
        <f>+'Ciudad Conectada'!X140</f>
        <v>0.2016266666666667</v>
      </c>
      <c r="K155" s="13">
        <f>+'Ciudad Conectada'!Y140</f>
        <v>0.65464966666666669</v>
      </c>
      <c r="L155" s="34">
        <f>+'Ciudad Conectada'!Z140</f>
        <v>3.5951400000000001E-2</v>
      </c>
      <c r="M155" s="34">
        <f>+'Ciudad Conectada'!AA140</f>
        <v>0.58139744999999998</v>
      </c>
      <c r="N155" s="26"/>
      <c r="O155" s="10"/>
      <c r="P155" s="59"/>
    </row>
    <row r="156" spans="2:16" ht="41.4" customHeight="1" x14ac:dyDescent="0.7">
      <c r="B156" s="33" t="s">
        <v>1677</v>
      </c>
      <c r="C156" s="1005"/>
      <c r="D156" s="13">
        <f>+'Ciudad Conectada'!I144</f>
        <v>0.42000000000000004</v>
      </c>
      <c r="E156" s="13">
        <f>+'Ciudad Conectada'!J144</f>
        <v>0.19</v>
      </c>
      <c r="F156" s="13">
        <f t="shared" si="40"/>
        <v>0.59000000000000008</v>
      </c>
      <c r="G156" s="13">
        <f>+'Ciudad Conectada'!K144</f>
        <v>0.30500000000000005</v>
      </c>
      <c r="H156" s="13">
        <f>+'Ciudad Conectada'!L144</f>
        <v>0.11000000000000001</v>
      </c>
      <c r="I156" s="13">
        <f>+'Ciudad Conectada'!U144</f>
        <v>0.9</v>
      </c>
      <c r="J156" s="13">
        <f>+'Ciudad Conectada'!X144</f>
        <v>0.4</v>
      </c>
      <c r="K156" s="13">
        <f>+'Ciudad Conectada'!Y144</f>
        <v>0.44800000000000006</v>
      </c>
      <c r="L156" s="34">
        <f>+'Ciudad Conectada'!Z144</f>
        <v>7.1250000000000008E-2</v>
      </c>
      <c r="M156" s="34">
        <f>+'Ciudad Conectada'!AA144</f>
        <v>0.31200000000000006</v>
      </c>
      <c r="N156" s="26"/>
      <c r="O156" s="10"/>
      <c r="P156" s="59"/>
    </row>
    <row r="157" spans="2:16" ht="31.95" customHeight="1" x14ac:dyDescent="0.7">
      <c r="B157" s="33" t="s">
        <v>1678</v>
      </c>
      <c r="C157" s="1005"/>
      <c r="D157" s="13">
        <f>+'Ciudad Conectada'!I150</f>
        <v>0.14222222222222222</v>
      </c>
      <c r="E157" s="13">
        <f>+'Ciudad Conectada'!J150</f>
        <v>0.18523809523809523</v>
      </c>
      <c r="F157" s="13">
        <f t="shared" si="40"/>
        <v>0.30523809523809525</v>
      </c>
      <c r="G157" s="13">
        <f>+'Ciudad Conectada'!K150</f>
        <v>0.10183333333333333</v>
      </c>
      <c r="H157" s="13">
        <f>+'Ciudad Conectada'!L150</f>
        <v>0.24816666666666667</v>
      </c>
      <c r="I157" s="13">
        <f>+'Ciudad Conectada'!U150</f>
        <v>0.67543103448275865</v>
      </c>
      <c r="J157" s="13">
        <f>+'Ciudad Conectada'!X150</f>
        <v>0.12000000000000001</v>
      </c>
      <c r="K157" s="13">
        <f>+'Ciudad Conectada'!Y150</f>
        <v>0.3627777777777777</v>
      </c>
      <c r="L157" s="34">
        <f>+'Ciudad Conectada'!Z150</f>
        <v>2.8350000000000004E-2</v>
      </c>
      <c r="M157" s="34">
        <f>+'Ciudad Conectada'!AA150</f>
        <v>0.57416666666666671</v>
      </c>
      <c r="N157" s="26"/>
      <c r="O157" s="10"/>
      <c r="P157" s="59"/>
    </row>
    <row r="158" spans="2:16" ht="67.95" customHeight="1" x14ac:dyDescent="0.7">
      <c r="B158" s="33" t="s">
        <v>1679</v>
      </c>
      <c r="C158" s="1005"/>
      <c r="D158" s="13">
        <f>+'Ciudad Conectada'!I159</f>
        <v>0</v>
      </c>
      <c r="E158" s="13">
        <f>+'Ciudad Conectada'!J159</f>
        <v>0</v>
      </c>
      <c r="F158" s="13">
        <f t="shared" si="40"/>
        <v>0</v>
      </c>
      <c r="G158" s="13">
        <f>+'Ciudad Conectada'!K159</f>
        <v>0</v>
      </c>
      <c r="H158" s="13">
        <f>+'Ciudad Conectada'!L159</f>
        <v>0</v>
      </c>
      <c r="I158" s="13">
        <f>+'Ciudad Conectada'!U159</f>
        <v>0</v>
      </c>
      <c r="J158" s="13"/>
      <c r="K158" s="13"/>
      <c r="L158" s="34">
        <f>+'Ciudad Conectada'!Z159</f>
        <v>0</v>
      </c>
      <c r="M158" s="34">
        <f>+'Ciudad Conectada'!AA159</f>
        <v>0</v>
      </c>
      <c r="N158" s="26"/>
      <c r="O158" s="10"/>
      <c r="P158" s="59"/>
    </row>
    <row r="159" spans="2:16" ht="49.8" x14ac:dyDescent="0.7">
      <c r="B159" s="31" t="str">
        <f>+'Ciudad Conectada'!B167:B167</f>
        <v xml:space="preserve"> Integración Regional y Metropolitana
</v>
      </c>
      <c r="C159" s="1005"/>
      <c r="D159" s="22">
        <f t="shared" ref="D159:I159" si="48">+(D160)/1</f>
        <v>0</v>
      </c>
      <c r="E159" s="22">
        <f>+(E160)/1</f>
        <v>0.16666666666666666</v>
      </c>
      <c r="F159" s="22">
        <f t="shared" si="40"/>
        <v>0.16666666666666666</v>
      </c>
      <c r="G159" s="23">
        <f t="shared" si="48"/>
        <v>0</v>
      </c>
      <c r="H159" s="23">
        <f t="shared" si="48"/>
        <v>0</v>
      </c>
      <c r="I159" s="713">
        <f t="shared" si="48"/>
        <v>1</v>
      </c>
      <c r="J159" s="11">
        <f>+(J160)/1</f>
        <v>0</v>
      </c>
      <c r="K159" s="11">
        <f>+(K160)/1</f>
        <v>0.16500000000000001</v>
      </c>
      <c r="L159" s="58">
        <f>+(L160)</f>
        <v>0</v>
      </c>
      <c r="M159" s="58">
        <f>+'Ciudad Conectada'!AA167</f>
        <v>5.000000000000001E-3</v>
      </c>
      <c r="N159" s="26"/>
      <c r="O159" s="10"/>
      <c r="P159" s="59"/>
    </row>
    <row r="160" spans="2:16" ht="54.6" customHeight="1" x14ac:dyDescent="0.7">
      <c r="B160" s="36" t="s">
        <v>1680</v>
      </c>
      <c r="C160" s="1006"/>
      <c r="D160" s="37">
        <f>+'Ciudad Conectada'!I168</f>
        <v>0</v>
      </c>
      <c r="E160" s="37">
        <f>+'Ciudad Conectada'!J168</f>
        <v>0.16666666666666666</v>
      </c>
      <c r="F160" s="37">
        <f t="shared" si="40"/>
        <v>0.16666666666666666</v>
      </c>
      <c r="G160" s="37">
        <f>+'Ciudad Conectada'!K168</f>
        <v>0</v>
      </c>
      <c r="H160" s="37">
        <f>+'Ciudad Conectada'!L168</f>
        <v>0</v>
      </c>
      <c r="I160" s="37">
        <f>+'Ciudad Conectada'!U168</f>
        <v>1</v>
      </c>
      <c r="J160" s="37">
        <f>+'Ciudad Conectada'!X168</f>
        <v>0</v>
      </c>
      <c r="K160" s="37">
        <f>+'Ciudad Conectada'!Y168</f>
        <v>0.16500000000000001</v>
      </c>
      <c r="L160" s="38">
        <f>+'Ciudad Conectada'!Z168</f>
        <v>0</v>
      </c>
      <c r="M160" s="38">
        <f>+'Ciudad Conectada'!AA168</f>
        <v>0.1</v>
      </c>
      <c r="N160" s="26"/>
      <c r="O160" s="10"/>
      <c r="P160" s="59"/>
    </row>
    <row r="161" spans="2:16" ht="120" customHeight="1" x14ac:dyDescent="0.7">
      <c r="B161" s="28" t="str">
        <f>+'Innovación Pública'!B3:B3</f>
        <v xml:space="preserve"> INNOVACIÓN PÚBLICA Y PARTICIPACIÓN CIUDADANA
</v>
      </c>
      <c r="C161" s="1007">
        <v>0.08</v>
      </c>
      <c r="D161" s="29">
        <f>+'Innovación Pública'!I3</f>
        <v>0.23222048675539217</v>
      </c>
      <c r="E161" s="29">
        <f>+'Innovación Pública'!J3</f>
        <v>0.28347006193654073</v>
      </c>
      <c r="F161" s="29">
        <f t="shared" si="40"/>
        <v>0.50036552986911909</v>
      </c>
      <c r="G161" s="29">
        <f>+'Innovación Pública'!K3</f>
        <v>0.21726216822485131</v>
      </c>
      <c r="H161" s="29">
        <f>+'Innovación Pública'!L3</f>
        <v>0.25997625192376106</v>
      </c>
      <c r="I161" s="29">
        <f>+'Innovación Pública'!U3</f>
        <v>0.6498863938917967</v>
      </c>
      <c r="J161" s="29">
        <f>+'Innovación Pública'!X3</f>
        <v>0.21689546793257833</v>
      </c>
      <c r="K161" s="29">
        <f>+'Innovación Pública'!Y3</f>
        <v>0.43848933604926138</v>
      </c>
      <c r="L161" s="30">
        <f>+'Innovación Pública'!Z3</f>
        <v>0.19300125399793866</v>
      </c>
      <c r="M161" s="30">
        <f>+'Innovación Pública'!AA3</f>
        <v>0.3953194428519276</v>
      </c>
      <c r="N161" s="26"/>
      <c r="O161" s="10"/>
      <c r="P161" s="59"/>
    </row>
    <row r="162" spans="2:16" ht="87" customHeight="1" x14ac:dyDescent="0.7">
      <c r="B162" s="31" t="str">
        <f>+'Innovación Pública'!B4:B4</f>
        <v xml:space="preserve">Componente Impulsor del avance: Transparencia y Gobierno Abierto
</v>
      </c>
      <c r="C162" s="1002"/>
      <c r="D162" s="22">
        <f>+(D163+D164+D165)/2</f>
        <v>0.24124999999999999</v>
      </c>
      <c r="E162" s="22">
        <f>+(E163+E164+E165)/3</f>
        <v>0.23564814814814816</v>
      </c>
      <c r="F162" s="22">
        <f t="shared" si="40"/>
        <v>0.44564814814814813</v>
      </c>
      <c r="G162" s="23">
        <f>+(G163+G164+G165)/2</f>
        <v>0.24783333333333332</v>
      </c>
      <c r="H162" s="23">
        <f t="shared" ref="H162" si="49">+(H163+H164+H165)/2</f>
        <v>0.26858333333333329</v>
      </c>
      <c r="I162" s="713">
        <f>+(I163+I164+I165)/3</f>
        <v>0.63888888888888884</v>
      </c>
      <c r="J162" s="11">
        <f>+(J163+J164+J165)/2</f>
        <v>0.21</v>
      </c>
      <c r="K162" s="11">
        <f>+(K163+K164+K165)/3</f>
        <v>0.30019444444444443</v>
      </c>
      <c r="L162" s="23">
        <f>+(L163+L164+L165)</f>
        <v>0.15870000000000001</v>
      </c>
      <c r="M162" s="23">
        <f>+'Innovación Pública'!AA4</f>
        <v>0.33794999999999997</v>
      </c>
      <c r="N162" s="26"/>
      <c r="O162" s="10"/>
      <c r="P162" s="59"/>
    </row>
    <row r="163" spans="2:16" ht="60" customHeight="1" x14ac:dyDescent="0.7">
      <c r="B163" s="33" t="s">
        <v>1681</v>
      </c>
      <c r="C163" s="1002"/>
      <c r="D163" s="13">
        <f>+'Innovación Pública'!I5</f>
        <v>0</v>
      </c>
      <c r="E163" s="13">
        <f>+'Innovación Pública'!J5</f>
        <v>0.30444444444444446</v>
      </c>
      <c r="F163" s="13">
        <f t="shared" si="40"/>
        <v>0.30444444444444446</v>
      </c>
      <c r="G163" s="13">
        <f>+'Innovación Pública'!K5</f>
        <v>0</v>
      </c>
      <c r="H163" s="13">
        <f>+'Innovación Pública'!L5</f>
        <v>0.13749999999999998</v>
      </c>
      <c r="I163" s="13">
        <f>+'Innovación Pública'!U5</f>
        <v>0.26666666666666666</v>
      </c>
      <c r="J163" s="13">
        <f>+'Innovación Pública'!X5</f>
        <v>0</v>
      </c>
      <c r="K163" s="13">
        <f>+'Innovación Pública'!Y5</f>
        <v>6.6000000000000003E-2</v>
      </c>
      <c r="L163" s="34">
        <f>+'Innovación Pública'!Z5</f>
        <v>0</v>
      </c>
      <c r="M163" s="34">
        <f>+'Innovación Pública'!AA5</f>
        <v>6.9999999999999993E-2</v>
      </c>
      <c r="N163" s="26"/>
      <c r="O163" s="10"/>
      <c r="P163" s="59"/>
    </row>
    <row r="164" spans="2:16" ht="44.4" customHeight="1" x14ac:dyDescent="0.7">
      <c r="B164" s="33" t="s">
        <v>1682</v>
      </c>
      <c r="C164" s="1002"/>
      <c r="D164" s="13">
        <f>+'Innovación Pública'!I9</f>
        <v>0.25</v>
      </c>
      <c r="E164" s="13">
        <f>+'Innovación Pública'!J9</f>
        <v>0.25</v>
      </c>
      <c r="F164" s="13">
        <f t="shared" si="40"/>
        <v>0.4375</v>
      </c>
      <c r="G164" s="13">
        <f>+'Innovación Pública'!K9</f>
        <v>0.25</v>
      </c>
      <c r="H164" s="13">
        <f>+'Innovación Pública'!L9</f>
        <v>0.25</v>
      </c>
      <c r="I164" s="13">
        <f>+'Innovación Pública'!U9</f>
        <v>0.75</v>
      </c>
      <c r="J164" s="13">
        <f>+'Innovación Pública'!X9</f>
        <v>0.1875</v>
      </c>
      <c r="K164" s="13">
        <f>+'Innovación Pública'!Y9</f>
        <v>0.375</v>
      </c>
      <c r="L164" s="34">
        <f>+'Innovación Pública'!Z9</f>
        <v>8.5000000000000006E-2</v>
      </c>
      <c r="M164" s="34">
        <f>+'Innovación Pública'!AA9</f>
        <v>0.42499999999999999</v>
      </c>
      <c r="N164" s="26"/>
      <c r="O164" s="10"/>
      <c r="P164" s="59"/>
    </row>
    <row r="165" spans="2:16" ht="38.4" customHeight="1" x14ac:dyDescent="0.7">
      <c r="B165" s="33" t="s">
        <v>1683</v>
      </c>
      <c r="C165" s="1002"/>
      <c r="D165" s="13">
        <f>+'Innovación Pública'!I12</f>
        <v>0.23249999999999998</v>
      </c>
      <c r="E165" s="13">
        <f>+'Innovación Pública'!J12</f>
        <v>0.1525</v>
      </c>
      <c r="F165" s="13">
        <f t="shared" si="40"/>
        <v>0.38500000000000001</v>
      </c>
      <c r="G165" s="13">
        <f>+'Innovación Pública'!K12</f>
        <v>0.24566666666666664</v>
      </c>
      <c r="H165" s="13">
        <f>+'Innovación Pública'!L12</f>
        <v>0.14966666666666667</v>
      </c>
      <c r="I165" s="13">
        <f>+'Innovación Pública'!U12</f>
        <v>0.9</v>
      </c>
      <c r="J165" s="13">
        <f>+'Innovación Pública'!X12</f>
        <v>0.23249999999999998</v>
      </c>
      <c r="K165" s="13">
        <f>+'Innovación Pública'!Y12</f>
        <v>0.45958333333333334</v>
      </c>
      <c r="L165" s="34">
        <f>+'Innovación Pública'!Z12</f>
        <v>7.3699999999999988E-2</v>
      </c>
      <c r="M165" s="34">
        <f>+'Innovación Pública'!AA12</f>
        <v>0.48983333333333334</v>
      </c>
      <c r="N165" s="26"/>
      <c r="O165" s="10"/>
      <c r="P165" s="59"/>
    </row>
    <row r="166" spans="2:16" ht="124.2" customHeight="1" x14ac:dyDescent="0.7">
      <c r="B166" s="31" t="str">
        <f>+'Innovación Pública'!B17:B17</f>
        <v xml:space="preserve">Fortalecimiento Institucional e Innovación Administrativa
</v>
      </c>
      <c r="C166" s="1002"/>
      <c r="D166" s="22">
        <f>+(D167+D168+D169+D170+D171+D172+D173+D174)/6</f>
        <v>0.19706348655814188</v>
      </c>
      <c r="E166" s="22">
        <f>+(E167+E168+E169+E170+E171+E172+E173+E174)/8</f>
        <v>0.27430165206812734</v>
      </c>
      <c r="F166" s="22">
        <f t="shared" si="40"/>
        <v>0.47404711092972807</v>
      </c>
      <c r="G166" s="23">
        <f>+(G167+G168+G169+G170+G171+G172+G173+G174)/6</f>
        <v>0.16739826874293517</v>
      </c>
      <c r="H166" s="23">
        <f t="shared" ref="H166" si="50">+(H167+H168+H169+H170+H171+H172+H173+H174)/6</f>
        <v>0.35397081637251276</v>
      </c>
      <c r="I166" s="713">
        <f>+(I167+I168+I169+I170+I171+I172+I173+I174)/8</f>
        <v>0.68153853980986345</v>
      </c>
      <c r="J166" s="61">
        <f>+(J167+J168+J169+J170+J171+J172+J173+J174)/6</f>
        <v>0.19974545886160069</v>
      </c>
      <c r="K166" s="61">
        <f>+(K167+K168+K169+K170+K171+K172+K173+K174)/8</f>
        <v>0.35496616677585602</v>
      </c>
      <c r="L166" s="58">
        <f>+(L167+L168+L169+L170+L171+L172+L173+L174)</f>
        <v>0.14653217466808169</v>
      </c>
      <c r="M166" s="58">
        <f>+'Innovación Pública'!AA17</f>
        <v>0.38578359158763625</v>
      </c>
      <c r="N166" s="26"/>
      <c r="O166" s="10"/>
      <c r="P166" s="59"/>
    </row>
    <row r="167" spans="2:16" ht="57" customHeight="1" x14ac:dyDescent="0.7">
      <c r="B167" s="33" t="s">
        <v>1684</v>
      </c>
      <c r="C167" s="1002"/>
      <c r="D167" s="13">
        <f>+'Innovación Pública'!I18</f>
        <v>0.27777777777777773</v>
      </c>
      <c r="E167" s="13">
        <f>+'Innovación Pública'!J18</f>
        <v>0.29083333333333333</v>
      </c>
      <c r="F167" s="13">
        <f t="shared" si="40"/>
        <v>0.56861111111111107</v>
      </c>
      <c r="G167" s="13">
        <f>+'Innovación Pública'!K18</f>
        <v>0.27083333333333337</v>
      </c>
      <c r="H167" s="13">
        <f>+'Innovación Pública'!L18</f>
        <v>0.28733333333333333</v>
      </c>
      <c r="I167" s="13">
        <f>+'Innovación Pública'!U18</f>
        <v>0.84856060606060602</v>
      </c>
      <c r="J167" s="13">
        <f>+'Innovación Pública'!X18</f>
        <v>0.27777777777777773</v>
      </c>
      <c r="K167" s="13">
        <f>+'Innovación Pública'!Y18</f>
        <v>0.47485833333333333</v>
      </c>
      <c r="L167" s="34">
        <f>+'Innovación Pública'!Z18</f>
        <v>4.0625000000000001E-2</v>
      </c>
      <c r="M167" s="34">
        <f>+'Innovación Pública'!AA18</f>
        <v>0.54851333333333341</v>
      </c>
      <c r="N167" s="26"/>
      <c r="O167" s="10"/>
      <c r="P167" s="59"/>
    </row>
    <row r="168" spans="2:16" ht="40.200000000000003" customHeight="1" x14ac:dyDescent="0.7">
      <c r="B168" s="33" t="s">
        <v>1685</v>
      </c>
      <c r="C168" s="1002"/>
      <c r="D168" s="13">
        <f>+'Innovación Pública'!I23</f>
        <v>0.25</v>
      </c>
      <c r="E168" s="13">
        <f>+'Innovación Pública'!J23</f>
        <v>0.25</v>
      </c>
      <c r="F168" s="13">
        <f t="shared" si="40"/>
        <v>0.5</v>
      </c>
      <c r="G168" s="13">
        <f>+'Innovación Pública'!K23</f>
        <v>0.25</v>
      </c>
      <c r="H168" s="13">
        <f>+'Innovación Pública'!L23</f>
        <v>0.25</v>
      </c>
      <c r="I168" s="13">
        <f>+'Innovación Pública'!U23</f>
        <v>0.95</v>
      </c>
      <c r="J168" s="13">
        <f>+'Innovación Pública'!X23</f>
        <v>0.25</v>
      </c>
      <c r="K168" s="13">
        <f>+'Innovación Pública'!Y23</f>
        <v>0.48749999999999999</v>
      </c>
      <c r="L168" s="34">
        <f>+'Innovación Pública'!Z23</f>
        <v>1.2500000000000001E-2</v>
      </c>
      <c r="M168" s="34">
        <f>+'Innovación Pública'!AA23</f>
        <v>0.48</v>
      </c>
      <c r="N168" s="26"/>
      <c r="O168" s="10"/>
      <c r="P168" s="59"/>
    </row>
    <row r="169" spans="2:16" ht="46.95" customHeight="1" x14ac:dyDescent="0.7">
      <c r="B169" s="33" t="s">
        <v>1686</v>
      </c>
      <c r="C169" s="1002"/>
      <c r="D169" s="13">
        <f>+'Innovación Pública'!I26</f>
        <v>0.20186882933709449</v>
      </c>
      <c r="E169" s="13">
        <f>+'Innovación Pública'!J26</f>
        <v>0.27736248236953459</v>
      </c>
      <c r="F169" s="13">
        <f t="shared" si="40"/>
        <v>0.44984720263281619</v>
      </c>
      <c r="G169" s="13">
        <f>+'Innovación Pública'!K26</f>
        <v>0.17686882933709452</v>
      </c>
      <c r="H169" s="13">
        <f>+'Innovación Pública'!L26</f>
        <v>0.24104372355430184</v>
      </c>
      <c r="I169" s="13">
        <f>+'Innovación Pública'!U26</f>
        <v>0.97699999999999998</v>
      </c>
      <c r="J169" s="13">
        <f>+'Innovación Pública'!X26</f>
        <v>0.17248472026328163</v>
      </c>
      <c r="K169" s="13">
        <f>+'Innovación Pública'!Y26</f>
        <v>0.30824668547249645</v>
      </c>
      <c r="L169" s="34">
        <f>+'Innovación Pública'!Z26</f>
        <v>2.9496944052656328E-2</v>
      </c>
      <c r="M169" s="34">
        <f>+'Innovación Pública'!AA26</f>
        <v>0.41004043253408551</v>
      </c>
      <c r="N169" s="26"/>
      <c r="O169" s="10"/>
      <c r="P169" s="59"/>
    </row>
    <row r="170" spans="2:16" ht="46.2" customHeight="1" x14ac:dyDescent="0.7">
      <c r="B170" s="33" t="s">
        <v>1687</v>
      </c>
      <c r="C170" s="1002"/>
      <c r="D170" s="13">
        <f>+'Innovación Pública'!I30</f>
        <v>0.06</v>
      </c>
      <c r="E170" s="13">
        <f>+'Innovación Pública'!J30</f>
        <v>0.06</v>
      </c>
      <c r="F170" s="13">
        <f t="shared" si="40"/>
        <v>0.21</v>
      </c>
      <c r="G170" s="13">
        <f>+'Innovación Pública'!K30</f>
        <v>0.06</v>
      </c>
      <c r="H170" s="13">
        <f>+'Innovación Pública'!L30</f>
        <v>0.06</v>
      </c>
      <c r="I170" s="13">
        <f>+'Innovación Pública'!U30</f>
        <v>0.86199999999999999</v>
      </c>
      <c r="J170" s="13">
        <f>+'Innovación Pública'!X30</f>
        <v>0.15</v>
      </c>
      <c r="K170" s="13">
        <f>+'Innovación Pública'!Y30</f>
        <v>0.40343999999999997</v>
      </c>
      <c r="L170" s="34">
        <f>+'Innovación Pública'!Z30</f>
        <v>4.4999999999999998E-2</v>
      </c>
      <c r="M170" s="34">
        <f>+'Innovación Pública'!AA30</f>
        <v>0.40343999999999997</v>
      </c>
      <c r="N170" s="26"/>
      <c r="O170" s="10"/>
      <c r="P170" s="59"/>
    </row>
    <row r="171" spans="2:16" ht="44.4" customHeight="1" x14ac:dyDescent="0.7">
      <c r="B171" s="33" t="s">
        <v>1688</v>
      </c>
      <c r="C171" s="1002"/>
      <c r="D171" s="13">
        <f>+'Innovación Pública'!I32</f>
        <v>0</v>
      </c>
      <c r="E171" s="13">
        <f>+'Innovación Pública'!J32</f>
        <v>0.76666666666666661</v>
      </c>
      <c r="F171" s="13">
        <f t="shared" si="40"/>
        <v>0.76666666666666661</v>
      </c>
      <c r="G171" s="13">
        <f>+'Innovación Pública'!K32</f>
        <v>0</v>
      </c>
      <c r="H171" s="13">
        <f>+'Innovación Pública'!L32</f>
        <v>0.72</v>
      </c>
      <c r="I171" s="13">
        <f>+'Innovación Pública'!U32</f>
        <v>0.63888888888888895</v>
      </c>
      <c r="J171" s="13">
        <f>+'Innovación Pública'!X32</f>
        <v>0</v>
      </c>
      <c r="K171" s="13">
        <f>+'Innovación Pública'!Y32</f>
        <v>0.48333333333333334</v>
      </c>
      <c r="L171" s="34">
        <f>+'Innovación Pública'!Z32</f>
        <v>0</v>
      </c>
      <c r="M171" s="34">
        <f>+'Innovación Pública'!AA32</f>
        <v>0.45500000000000002</v>
      </c>
      <c r="N171" s="26"/>
      <c r="O171" s="10"/>
      <c r="P171" s="59"/>
    </row>
    <row r="172" spans="2:16" ht="53.4" customHeight="1" x14ac:dyDescent="0.7">
      <c r="B172" s="33" t="s">
        <v>1689</v>
      </c>
      <c r="C172" s="1002"/>
      <c r="D172" s="13">
        <f>+'Innovación Pública'!I36</f>
        <v>0.22500000000000001</v>
      </c>
      <c r="E172" s="13">
        <f>+'Innovación Pública'!J36</f>
        <v>0.33</v>
      </c>
      <c r="F172" s="13">
        <f t="shared" si="40"/>
        <v>0.505</v>
      </c>
      <c r="G172" s="13">
        <f>+'Innovación Pública'!K36</f>
        <v>0.16250000000000001</v>
      </c>
      <c r="H172" s="13">
        <f>+'Innovación Pública'!L36</f>
        <v>0.34750000000000003</v>
      </c>
      <c r="I172" s="13">
        <f>+'Innovación Pública'!U36</f>
        <v>0.6470588235294118</v>
      </c>
      <c r="J172" s="13">
        <f>+'Innovación Pública'!X36</f>
        <v>0.17499999999999999</v>
      </c>
      <c r="K172" s="13">
        <f>+'Innovación Pública'!Y36</f>
        <v>0.33166666666666667</v>
      </c>
      <c r="L172" s="34">
        <f>+'Innovación Pública'!Z36</f>
        <v>5.6250000000000007E-3</v>
      </c>
      <c r="M172" s="34">
        <f>+'Innovación Pública'!AA36</f>
        <v>0.35375000000000001</v>
      </c>
      <c r="N172" s="26"/>
      <c r="O172" s="10"/>
      <c r="P172" s="59"/>
    </row>
    <row r="173" spans="2:16" ht="39" customHeight="1" x14ac:dyDescent="0.7">
      <c r="B173" s="33" t="s">
        <v>1690</v>
      </c>
      <c r="C173" s="1002"/>
      <c r="D173" s="13">
        <f>+'Innovación Pública'!I40</f>
        <v>0</v>
      </c>
      <c r="E173" s="13">
        <f>+'Innovación Pública'!J40</f>
        <v>0</v>
      </c>
      <c r="F173" s="13">
        <f t="shared" si="40"/>
        <v>0</v>
      </c>
      <c r="G173" s="13">
        <f>+'Innovación Pública'!K40</f>
        <v>0</v>
      </c>
      <c r="H173" s="13">
        <f>+'Innovación Pública'!L40</f>
        <v>0</v>
      </c>
      <c r="I173" s="13">
        <f>+'Innovación Pública'!U40</f>
        <v>0</v>
      </c>
      <c r="J173" s="13">
        <f>+'Innovación Pública'!X40</f>
        <v>0</v>
      </c>
      <c r="K173" s="13">
        <f>+'Innovación Pública'!Y40</f>
        <v>0.05</v>
      </c>
      <c r="L173" s="34">
        <f>+'Innovación Pública'!Z40</f>
        <v>0</v>
      </c>
      <c r="M173" s="34">
        <f>+'Innovación Pública'!AA40</f>
        <v>0.05</v>
      </c>
      <c r="N173" s="26"/>
      <c r="O173" s="10"/>
      <c r="P173" s="59"/>
    </row>
    <row r="174" spans="2:16" ht="43.95" customHeight="1" x14ac:dyDescent="0.7">
      <c r="B174" s="33" t="s">
        <v>1691</v>
      </c>
      <c r="C174" s="1002"/>
      <c r="D174" s="13">
        <f>+'Innovación Pública'!I43</f>
        <v>0.16773431223397892</v>
      </c>
      <c r="E174" s="13">
        <f>+'Innovación Pública'!J43</f>
        <v>0.21955073417548415</v>
      </c>
      <c r="F174" s="13">
        <f t="shared" si="40"/>
        <v>0.39276098930402897</v>
      </c>
      <c r="G174" s="13">
        <f>+'Innovación Pública'!K43</f>
        <v>8.4187449787183122E-2</v>
      </c>
      <c r="H174" s="13">
        <f>+'Innovación Pública'!L43</f>
        <v>0.21794784134744136</v>
      </c>
      <c r="I174" s="13">
        <f>+'Innovación Pública'!U43</f>
        <v>0.52879999999999994</v>
      </c>
      <c r="J174" s="13">
        <f>+'Innovación Pública'!X43</f>
        <v>0.17321025512854482</v>
      </c>
      <c r="K174" s="13">
        <f>+'Innovación Pública'!Y43</f>
        <v>0.30068431540101875</v>
      </c>
      <c r="L174" s="34">
        <f>+'Innovación Pública'!Z43</f>
        <v>1.3285230615425379E-2</v>
      </c>
      <c r="M174" s="34">
        <f>+'Innovación Pública'!AA43</f>
        <v>0.2235267005387942</v>
      </c>
      <c r="N174" s="26"/>
      <c r="O174" s="10"/>
      <c r="P174" s="59"/>
    </row>
    <row r="175" spans="2:16" ht="82.95" customHeight="1" x14ac:dyDescent="0.7">
      <c r="B175" s="31" t="str">
        <f>+'Innovación Pública'!B48:B48</f>
        <v xml:space="preserve"> Finanzas Públicas
</v>
      </c>
      <c r="C175" s="1002"/>
      <c r="D175" s="22">
        <f>+(D176+D177)</f>
        <v>0.22689134534516447</v>
      </c>
      <c r="E175" s="22">
        <f>+(E176+E177)/2</f>
        <v>0.2540275605253442</v>
      </c>
      <c r="F175" s="22">
        <f t="shared" si="40"/>
        <v>0.50982794224574346</v>
      </c>
      <c r="G175" s="23">
        <f t="shared" ref="G175:L175" si="51">+(G176+G177)</f>
        <v>0.22571301967260979</v>
      </c>
      <c r="H175" s="23">
        <f>+(H176+H177)/2</f>
        <v>0.25432469935214241</v>
      </c>
      <c r="I175" s="713">
        <f>+(I176+I177)/2</f>
        <v>0.88236912624313713</v>
      </c>
      <c r="J175" s="11">
        <f t="shared" si="51"/>
        <v>0.25580038172039926</v>
      </c>
      <c r="K175" s="11">
        <f>+(K176+K177)/2</f>
        <v>0.7334709148300157</v>
      </c>
      <c r="L175" s="58">
        <f t="shared" si="51"/>
        <v>0.22738216072471779</v>
      </c>
      <c r="M175" s="58">
        <f>+'Innovación Pública'!AA48</f>
        <v>0.44700346105403205</v>
      </c>
      <c r="N175" s="26"/>
      <c r="O175" s="10"/>
      <c r="P175" s="59"/>
    </row>
    <row r="176" spans="2:16" ht="44.4" customHeight="1" x14ac:dyDescent="0.7">
      <c r="B176" s="33" t="s">
        <v>1692</v>
      </c>
      <c r="C176" s="1002"/>
      <c r="D176" s="13">
        <f>+'Innovación Pública'!I49</f>
        <v>0.22689134534516447</v>
      </c>
      <c r="E176" s="13">
        <f>+'Innovación Pública'!J49</f>
        <v>0.2580551210506884</v>
      </c>
      <c r="F176" s="13">
        <f t="shared" si="40"/>
        <v>0.5138555027710876</v>
      </c>
      <c r="G176" s="13">
        <f>+'Innovación Pública'!K49</f>
        <v>0.22571301967260979</v>
      </c>
      <c r="H176" s="13">
        <f>+'Innovación Pública'!L49</f>
        <v>0.25864939870428477</v>
      </c>
      <c r="I176" s="13">
        <f>+'Innovación Pública'!U49</f>
        <v>0.76473825248627425</v>
      </c>
      <c r="J176" s="13">
        <f>+'Innovación Pública'!X49</f>
        <v>0.25580038172039926</v>
      </c>
      <c r="K176" s="13">
        <f>+'Innovación Pública'!Y49</f>
        <v>0.46694182966003145</v>
      </c>
      <c r="L176" s="34">
        <f>+'Innovación Pública'!Z49</f>
        <v>0.22738216072471779</v>
      </c>
      <c r="M176" s="34">
        <f>+'Innovación Pública'!AA49</f>
        <v>0.41789838005687585</v>
      </c>
      <c r="N176" s="26"/>
      <c r="O176" s="10"/>
      <c r="P176" s="59"/>
    </row>
    <row r="177" spans="2:16" ht="31.2" customHeight="1" x14ac:dyDescent="0.7">
      <c r="B177" s="33" t="s">
        <v>1693</v>
      </c>
      <c r="C177" s="1002"/>
      <c r="D177" s="13">
        <f>+'Innovación Pública'!I55</f>
        <v>0</v>
      </c>
      <c r="E177" s="13">
        <f>+'Innovación Pública'!J55</f>
        <v>0.25</v>
      </c>
      <c r="F177" s="13">
        <f t="shared" si="40"/>
        <v>0.25</v>
      </c>
      <c r="G177" s="13">
        <f>+'Innovación Pública'!K55</f>
        <v>0</v>
      </c>
      <c r="H177" s="13">
        <f>+'Innovación Pública'!L55</f>
        <v>0.25</v>
      </c>
      <c r="I177" s="13">
        <f>+'Innovación Pública'!U55</f>
        <v>1</v>
      </c>
      <c r="J177" s="13">
        <f>+'Innovación Pública'!X55</f>
        <v>0</v>
      </c>
      <c r="K177" s="13">
        <f>+'Innovación Pública'!Y55</f>
        <v>1</v>
      </c>
      <c r="L177" s="34">
        <f>+'Innovación Pública'!Z55</f>
        <v>0</v>
      </c>
      <c r="M177" s="34">
        <f>+'Innovación Pública'!AA55</f>
        <v>1</v>
      </c>
      <c r="N177" s="26"/>
      <c r="O177" s="10"/>
      <c r="P177" s="59"/>
    </row>
    <row r="178" spans="2:16" ht="76.95" customHeight="1" x14ac:dyDescent="0.7">
      <c r="B178" s="31" t="str">
        <f>+'Innovación Pública'!B57:B57</f>
        <v xml:space="preserve">Cultura Ciudadana
</v>
      </c>
      <c r="C178" s="1002"/>
      <c r="D178" s="22">
        <f t="shared" ref="D178:G178" si="52">+(D179+D180+D181+D182+D183)/5</f>
        <v>0.22780333900383748</v>
      </c>
      <c r="E178" s="22">
        <f t="shared" si="52"/>
        <v>0.28056602016325777</v>
      </c>
      <c r="F178" s="22">
        <f t="shared" si="40"/>
        <v>0.5349577019952263</v>
      </c>
      <c r="G178" s="23">
        <f t="shared" si="52"/>
        <v>0.22258316849309651</v>
      </c>
      <c r="H178" s="23">
        <f t="shared" ref="H178:I178" si="53">+(H179+H180+H181+H182+H183)/5</f>
        <v>0.27229331342063273</v>
      </c>
      <c r="I178" s="713">
        <f t="shared" si="53"/>
        <v>0.47258397085610204</v>
      </c>
      <c r="J178" s="11">
        <f>+(J179+J180+J181+J182+J183)/5</f>
        <v>0.25439168183196847</v>
      </c>
      <c r="K178" s="11">
        <f>+(K179+K180+K181+K182+K183)/5</f>
        <v>0.38315178192296029</v>
      </c>
      <c r="L178" s="58">
        <f>+(L179+L180+L181+L182+L183)</f>
        <v>0.28719335759781622</v>
      </c>
      <c r="M178" s="58">
        <f>+'Innovación Pública'!AA57</f>
        <v>0.43271951774340311</v>
      </c>
      <c r="N178" s="26"/>
      <c r="O178" s="10"/>
      <c r="P178" s="59"/>
    </row>
    <row r="179" spans="2:16" ht="76.95" customHeight="1" x14ac:dyDescent="0.7">
      <c r="B179" s="33" t="s">
        <v>1694</v>
      </c>
      <c r="C179" s="1002"/>
      <c r="D179" s="13">
        <f>+'Innovación Pública'!I58</f>
        <v>0.24988626023657873</v>
      </c>
      <c r="E179" s="13">
        <f>+'Innovación Pública'!J58</f>
        <v>0.24988626023657873</v>
      </c>
      <c r="F179" s="13">
        <f t="shared" si="40"/>
        <v>0.63330300272975437</v>
      </c>
      <c r="G179" s="13">
        <f>+'Innovación Pública'!K58</f>
        <v>0.24981801637852596</v>
      </c>
      <c r="H179" s="13">
        <f>+'Innovación Pública'!L58</f>
        <v>0.24981801637852596</v>
      </c>
      <c r="I179" s="13">
        <f>+'Innovación Pública'!U58</f>
        <v>0.4975865209471767</v>
      </c>
      <c r="J179" s="13">
        <f>+'Innovación Pública'!X58</f>
        <v>0.38341674249317559</v>
      </c>
      <c r="K179" s="13">
        <f>+'Innovación Pública'!Y58</f>
        <v>0.50771724294813469</v>
      </c>
      <c r="L179" s="34">
        <f>+'Innovación Pública'!Z58</f>
        <v>9.2693357597816203E-2</v>
      </c>
      <c r="M179" s="34">
        <f>+'Innovación Pública'!AA58</f>
        <v>0.63984758871701541</v>
      </c>
      <c r="N179" s="26"/>
      <c r="O179" s="10"/>
      <c r="P179" s="59"/>
    </row>
    <row r="180" spans="2:16" ht="45" customHeight="1" x14ac:dyDescent="0.7">
      <c r="B180" s="33" t="s">
        <v>1695</v>
      </c>
      <c r="C180" s="1002"/>
      <c r="D180" s="13">
        <f>+'Innovación Pública'!I61</f>
        <v>0.15</v>
      </c>
      <c r="E180" s="13">
        <f>+'Innovación Pública'!J61</f>
        <v>0.29062500000000002</v>
      </c>
      <c r="F180" s="13">
        <f t="shared" si="40"/>
        <v>0.51249999999999996</v>
      </c>
      <c r="G180" s="13">
        <f>+'Innovación Pública'!K61</f>
        <v>0.19624999999999998</v>
      </c>
      <c r="H180" s="13">
        <f>+'Innovación Pública'!L61</f>
        <v>0.27124999999999999</v>
      </c>
      <c r="I180" s="13">
        <f>+'Innovación Pública'!U61</f>
        <v>0.58333333333333326</v>
      </c>
      <c r="J180" s="13">
        <f>+'Innovación Pública'!X61</f>
        <v>0.22187499999999999</v>
      </c>
      <c r="K180" s="13">
        <f>+'Innovación Pública'!Y61</f>
        <v>0.390625</v>
      </c>
      <c r="L180" s="34">
        <f>+'Innovación Pública'!Z61</f>
        <v>0.103875</v>
      </c>
      <c r="M180" s="34">
        <f>+'Innovación Pública'!AA61</f>
        <v>0.5162500000000001</v>
      </c>
      <c r="N180" s="26"/>
      <c r="O180" s="10"/>
      <c r="P180" s="59"/>
    </row>
    <row r="181" spans="2:16" ht="42" customHeight="1" x14ac:dyDescent="0.7">
      <c r="B181" s="33" t="s">
        <v>1696</v>
      </c>
      <c r="C181" s="1002"/>
      <c r="D181" s="13">
        <f>+'Innovación Pública'!I66</f>
        <v>0.25</v>
      </c>
      <c r="E181" s="13">
        <f>+'Innovación Pública'!J66</f>
        <v>0.25</v>
      </c>
      <c r="F181" s="13">
        <f t="shared" si="40"/>
        <v>0.5</v>
      </c>
      <c r="G181" s="13">
        <f>+'Innovación Pública'!K66</f>
        <v>0.25</v>
      </c>
      <c r="H181" s="13">
        <f>+'Innovación Pública'!L66</f>
        <v>0.25</v>
      </c>
      <c r="I181" s="13">
        <f>+'Innovación Pública'!U66</f>
        <v>0.7</v>
      </c>
      <c r="J181" s="13">
        <f>+'Innovación Pública'!X66</f>
        <v>0.25</v>
      </c>
      <c r="K181" s="13">
        <f>+'Innovación Pública'!Y66</f>
        <v>0.42499999999999999</v>
      </c>
      <c r="L181" s="34">
        <f>+'Innovación Pública'!Z66</f>
        <v>3.7499999999999999E-2</v>
      </c>
      <c r="M181" s="34">
        <f>+'Innovación Pública'!AA66</f>
        <v>0.42499999999999999</v>
      </c>
      <c r="N181" s="26"/>
      <c r="O181" s="10"/>
      <c r="P181" s="59"/>
    </row>
    <row r="182" spans="2:16" ht="45.6" customHeight="1" x14ac:dyDescent="0.7">
      <c r="B182" s="33" t="s">
        <v>1697</v>
      </c>
      <c r="C182" s="1002"/>
      <c r="D182" s="13">
        <f>+'Innovación Pública'!I68</f>
        <v>0.23913043478260868</v>
      </c>
      <c r="E182" s="13">
        <f>+'Innovación Pública'!J68</f>
        <v>0.36231884057971014</v>
      </c>
      <c r="F182" s="13">
        <f t="shared" si="40"/>
        <v>0.52898550724637683</v>
      </c>
      <c r="G182" s="13">
        <f>+'Innovación Pública'!K68</f>
        <v>0.16684782608695653</v>
      </c>
      <c r="H182" s="13">
        <f>+'Innovación Pública'!L68</f>
        <v>0.34039855072463771</v>
      </c>
      <c r="I182" s="13">
        <f>+'Innovación Pública'!U68</f>
        <v>0.33699999999999997</v>
      </c>
      <c r="J182" s="13">
        <f>+'Innovación Pública'!X68</f>
        <v>0.16666666666666666</v>
      </c>
      <c r="K182" s="13">
        <f>+'Innovación Pública'!Y68</f>
        <v>0.28116666666666668</v>
      </c>
      <c r="L182" s="34">
        <f>+'Innovación Pública'!Z68</f>
        <v>2.8125000000000001E-2</v>
      </c>
      <c r="M182" s="34">
        <f>+'Innovación Pública'!AA68</f>
        <v>0.21999999999999997</v>
      </c>
      <c r="N182" s="26"/>
      <c r="O182" s="10"/>
      <c r="P182" s="59"/>
    </row>
    <row r="183" spans="2:16" ht="45.6" customHeight="1" x14ac:dyDescent="0.7">
      <c r="B183" s="33" t="s">
        <v>1698</v>
      </c>
      <c r="C183" s="1002"/>
      <c r="D183" s="13">
        <f>+'Innovación Pública'!I74</f>
        <v>0.25</v>
      </c>
      <c r="E183" s="13">
        <f>+'Innovación Pública'!J74</f>
        <v>0.25</v>
      </c>
      <c r="F183" s="13">
        <f t="shared" si="40"/>
        <v>0.5</v>
      </c>
      <c r="G183" s="13">
        <f>+'Innovación Pública'!K74</f>
        <v>0.25</v>
      </c>
      <c r="H183" s="13">
        <f>+'Innovación Pública'!L74</f>
        <v>0.25</v>
      </c>
      <c r="I183" s="13">
        <f>+'Innovación Pública'!U74</f>
        <v>0.245</v>
      </c>
      <c r="J183" s="13">
        <f>+'Innovación Pública'!X74</f>
        <v>0.25</v>
      </c>
      <c r="K183" s="13">
        <f>+'Innovación Pública'!Y74</f>
        <v>0.31125000000000003</v>
      </c>
      <c r="L183" s="34">
        <f>+'Innovación Pública'!Z74</f>
        <v>2.5000000000000001E-2</v>
      </c>
      <c r="M183" s="34">
        <f>+'Innovación Pública'!AA74</f>
        <v>0.31125000000000003</v>
      </c>
      <c r="N183" s="26"/>
      <c r="O183" s="10"/>
      <c r="P183" s="59"/>
    </row>
    <row r="184" spans="2:16" ht="49.8" x14ac:dyDescent="0.7">
      <c r="B184" s="31" t="str">
        <f>+'Innovación Pública'!B77:B77</f>
        <v xml:space="preserve">Participación Ciudadana y Acción Comunal
</v>
      </c>
      <c r="C184" s="1002"/>
      <c r="D184" s="22">
        <f>+(D185+D186+D187+D188+D189+D190)/5</f>
        <v>0.25436567555113532</v>
      </c>
      <c r="E184" s="22">
        <f>+(E185+E186+E187+E188+E189+E190)/6</f>
        <v>0.31832393913396156</v>
      </c>
      <c r="F184" s="22">
        <f t="shared" si="40"/>
        <v>0.49043977987101872</v>
      </c>
      <c r="G184" s="23">
        <f>+(G185+G186+G187+G188+G189+G190)/5</f>
        <v>0.23789244132935511</v>
      </c>
      <c r="H184" s="23">
        <f t="shared" ref="H184" si="54">+(H185+H186+H187+H188+H189+H190)/5</f>
        <v>0.36095652093134517</v>
      </c>
      <c r="I184" s="713">
        <f>+(I185+I186+I187+I188+I189+I190)/6</f>
        <v>0.38034472502805833</v>
      </c>
      <c r="J184" s="11">
        <f>+(J185+J186+J187+J188+J189+J190)/6</f>
        <v>0.17211584073705719</v>
      </c>
      <c r="K184" s="11">
        <f>+(K185+K186+K187+K188+K189+K190)/6</f>
        <v>0.30357737763446097</v>
      </c>
      <c r="L184" s="58">
        <f>+(L185+L186+L187+L188+L189+L190)</f>
        <v>0.15231066433034965</v>
      </c>
      <c r="M184" s="762">
        <f>+'Innovación Pública'!AA77</f>
        <v>0.29541475921724675</v>
      </c>
      <c r="N184" s="26"/>
      <c r="O184" s="10"/>
      <c r="P184" s="59"/>
    </row>
    <row r="185" spans="2:16" ht="52.2" customHeight="1" x14ac:dyDescent="0.7">
      <c r="B185" s="33" t="s">
        <v>1699</v>
      </c>
      <c r="C185" s="1002"/>
      <c r="D185" s="13">
        <f>+'Innovación Pública'!I78</f>
        <v>0.35243948886678761</v>
      </c>
      <c r="E185" s="13">
        <f>+'Innovación Pública'!J78</f>
        <v>0.4932769681371027</v>
      </c>
      <c r="F185" s="13">
        <f t="shared" si="40"/>
        <v>0.82071645700389029</v>
      </c>
      <c r="G185" s="13">
        <f>+'Innovación Pública'!K78</f>
        <v>0.34219553998010876</v>
      </c>
      <c r="H185" s="13">
        <f>+'Innovación Pública'!L78</f>
        <v>0.53394927132339243</v>
      </c>
      <c r="I185" s="13">
        <f>+'Innovación Pública'!U78</f>
        <v>0.63516835016835016</v>
      </c>
      <c r="J185" s="13">
        <f>+'Innovación Pública'!X78</f>
        <v>0.32743948886678759</v>
      </c>
      <c r="K185" s="13">
        <f>+'Innovación Pública'!Y78</f>
        <v>0.61427537691787693</v>
      </c>
      <c r="L185" s="34">
        <f>+'Innovación Pública'!Z78</f>
        <v>4.5704330997016318E-2</v>
      </c>
      <c r="M185" s="34">
        <f>+'Innovación Pública'!AA78</f>
        <v>0.61284783922608921</v>
      </c>
      <c r="N185" s="26"/>
      <c r="O185" s="10"/>
      <c r="P185" s="59"/>
    </row>
    <row r="186" spans="2:16" ht="55.95" customHeight="1" x14ac:dyDescent="0.7">
      <c r="B186" s="33" t="s">
        <v>1700</v>
      </c>
      <c r="C186" s="1002"/>
      <c r="D186" s="13">
        <f>+'Innovación Pública'!I85</f>
        <v>0.17916666666666664</v>
      </c>
      <c r="E186" s="13">
        <f>+'Innovación Pública'!J85</f>
        <v>0.23749999999999999</v>
      </c>
      <c r="F186" s="13">
        <f t="shared" si="40"/>
        <v>0.38749999999999996</v>
      </c>
      <c r="G186" s="13">
        <f>+'Innovación Pública'!K85</f>
        <v>0.14250000000000002</v>
      </c>
      <c r="H186" s="13">
        <f>+'Innovación Pública'!L85</f>
        <v>0.16</v>
      </c>
      <c r="I186" s="13">
        <f>+'Innovación Pública'!U85</f>
        <v>0.17916666666666667</v>
      </c>
      <c r="J186" s="13">
        <f>+'Innovación Pública'!X85</f>
        <v>0.14999999999999997</v>
      </c>
      <c r="K186" s="13">
        <f>+'Innovación Pública'!Y85</f>
        <v>0.18583333333333329</v>
      </c>
      <c r="L186" s="34">
        <f>+'Innovación Pública'!Z85</f>
        <v>3.9E-2</v>
      </c>
      <c r="M186" s="34">
        <f>+'Innovación Pública'!AA85</f>
        <v>0.19449999999999998</v>
      </c>
      <c r="N186" s="26"/>
      <c r="O186" s="10"/>
      <c r="P186" s="59"/>
    </row>
    <row r="187" spans="2:16" ht="43.2" customHeight="1" x14ac:dyDescent="0.7">
      <c r="B187" s="33" t="s">
        <v>1701</v>
      </c>
      <c r="C187" s="1002"/>
      <c r="D187" s="13">
        <f>+'Innovación Pública'!I92</f>
        <v>0</v>
      </c>
      <c r="E187" s="13">
        <f>+'Innovación Pública'!J92</f>
        <v>0</v>
      </c>
      <c r="F187" s="13">
        <f t="shared" si="40"/>
        <v>0</v>
      </c>
      <c r="G187" s="13">
        <f>+'Innovación Pública'!K92</f>
        <v>0</v>
      </c>
      <c r="H187" s="13">
        <f>+'Innovación Pública'!L92</f>
        <v>0</v>
      </c>
      <c r="I187" s="13">
        <f>+'Innovación Pública'!U92</f>
        <v>0</v>
      </c>
      <c r="J187" s="13">
        <f>+'Innovación Pública'!X92</f>
        <v>0</v>
      </c>
      <c r="K187" s="13">
        <f>+'Innovación Pública'!Y92</f>
        <v>0</v>
      </c>
      <c r="L187" s="34">
        <f>+'Innovación Pública'!Z92</f>
        <v>0</v>
      </c>
      <c r="M187" s="34">
        <f>+'Innovación Pública'!AA92</f>
        <v>0</v>
      </c>
      <c r="N187" s="26"/>
      <c r="O187" s="10"/>
      <c r="P187" s="59"/>
    </row>
    <row r="188" spans="2:16" ht="37.200000000000003" customHeight="1" x14ac:dyDescent="0.7">
      <c r="B188" s="33" t="s">
        <v>1702</v>
      </c>
      <c r="C188" s="1002"/>
      <c r="D188" s="13">
        <f>+'Innovación Pública'!I94</f>
        <v>0.18466666666666667</v>
      </c>
      <c r="E188" s="13">
        <f>+'Innovación Pública'!J94</f>
        <v>0.29583333333333334</v>
      </c>
      <c r="F188" s="13">
        <f t="shared" si="40"/>
        <v>0.48120000000000002</v>
      </c>
      <c r="G188" s="13">
        <f>+'Innovación Pública'!K94</f>
        <v>0.17810000000000001</v>
      </c>
      <c r="H188" s="13">
        <f>+'Innovación Pública'!L94</f>
        <v>0.29083333333333333</v>
      </c>
      <c r="I188" s="13">
        <f>+'Innovación Pública'!U94</f>
        <v>0.38916666666666666</v>
      </c>
      <c r="J188" s="13">
        <f>+'Innovación Pública'!X94</f>
        <v>0.18536666666666668</v>
      </c>
      <c r="K188" s="13">
        <f>+'Innovación Pública'!Y94</f>
        <v>0.29899166666666666</v>
      </c>
      <c r="L188" s="34">
        <f>+'Innovación Pública'!Z94</f>
        <v>3.5682999999999999E-2</v>
      </c>
      <c r="M188" s="34">
        <f>+'Innovación Pública'!AA94</f>
        <v>0.32284000000000002</v>
      </c>
      <c r="N188" s="26"/>
      <c r="O188" s="10"/>
      <c r="P188" s="59"/>
    </row>
    <row r="189" spans="2:16" ht="67.95" customHeight="1" x14ac:dyDescent="0.7">
      <c r="B189" s="33" t="s">
        <v>1703</v>
      </c>
      <c r="C189" s="1002"/>
      <c r="D189" s="13">
        <f>+'Innovación Pública'!I99</f>
        <v>0.25</v>
      </c>
      <c r="E189" s="13">
        <f>+'Innovación Pública'!J99</f>
        <v>0.55000000000000004</v>
      </c>
      <c r="F189" s="13">
        <f t="shared" si="40"/>
        <v>0.81166666666666676</v>
      </c>
      <c r="G189" s="13">
        <f>+'Innovación Pública'!K99</f>
        <v>0.185</v>
      </c>
      <c r="H189" s="13">
        <f>+'Innovación Pública'!L99</f>
        <v>0.44500000000000001</v>
      </c>
      <c r="I189" s="13">
        <f>+'Innovación Pública'!U99</f>
        <v>0.78390000000000004</v>
      </c>
      <c r="J189" s="13">
        <f>+'Innovación Pública'!X99</f>
        <v>0.26166666666666666</v>
      </c>
      <c r="K189" s="13">
        <f>+'Innovación Pública'!Y99</f>
        <v>0.54047500000000004</v>
      </c>
      <c r="L189" s="34">
        <f>+'Innovación Pública'!Z99</f>
        <v>2.095E-2</v>
      </c>
      <c r="M189" s="34">
        <f>+'Innovación Pública'!AA99</f>
        <v>0.59416250000000004</v>
      </c>
      <c r="N189" s="26"/>
      <c r="O189" s="10"/>
      <c r="P189" s="59"/>
    </row>
    <row r="190" spans="2:16" ht="45.6" customHeight="1" x14ac:dyDescent="0.7">
      <c r="B190" s="33" t="s">
        <v>1704</v>
      </c>
      <c r="C190" s="1002"/>
      <c r="D190" s="13">
        <f>+'Innovación Pública'!I105</f>
        <v>0.30555555555555552</v>
      </c>
      <c r="E190" s="13">
        <f>+'Innovación Pública'!J105</f>
        <v>0.33333333333333331</v>
      </c>
      <c r="F190" s="13">
        <f t="shared" si="40"/>
        <v>0.44155555555555553</v>
      </c>
      <c r="G190" s="13">
        <f>+'Innovación Pública'!K105</f>
        <v>0.34166666666666667</v>
      </c>
      <c r="H190" s="13">
        <f>+'Innovación Pública'!L105</f>
        <v>0.375</v>
      </c>
      <c r="I190" s="13">
        <f>+'Innovación Pública'!U105</f>
        <v>0.29466666666666669</v>
      </c>
      <c r="J190" s="13">
        <f>+'Innovación Pública'!X105</f>
        <v>0.10822222222222222</v>
      </c>
      <c r="K190" s="13">
        <f>+'Innovación Pública'!Y105</f>
        <v>0.18188888888888888</v>
      </c>
      <c r="L190" s="34">
        <f>+'Innovación Pública'!Z105</f>
        <v>1.0973333333333335E-2</v>
      </c>
      <c r="M190" s="34">
        <f>+'Innovación Pública'!AA105</f>
        <v>0.10576666666666668</v>
      </c>
      <c r="N190" s="26"/>
      <c r="O190" s="10"/>
      <c r="P190" s="59"/>
    </row>
    <row r="191" spans="2:16" ht="49.8" x14ac:dyDescent="0.7">
      <c r="B191" s="31" t="str">
        <f>+'Innovación Pública'!B109:B109</f>
        <v xml:space="preserve">Sistema de Planeación Distrital
</v>
      </c>
      <c r="C191" s="1002"/>
      <c r="D191" s="22">
        <f t="shared" ref="D191:G191" si="55">+(D192+D193+D194+D195+D196+D197)/6</f>
        <v>0.24594907407407407</v>
      </c>
      <c r="E191" s="22">
        <f t="shared" si="55"/>
        <v>0.29876710128495843</v>
      </c>
      <c r="F191" s="22">
        <f t="shared" si="40"/>
        <v>0.50808654572940293</v>
      </c>
      <c r="G191" s="23">
        <f t="shared" si="55"/>
        <v>0.20215277777777776</v>
      </c>
      <c r="H191" s="23">
        <f t="shared" ref="H191:I191" si="56">+(H192+H193+H194+H195+H196+H197)/6</f>
        <v>0.28790873015873014</v>
      </c>
      <c r="I191" s="713">
        <f t="shared" si="56"/>
        <v>0.746230463980464</v>
      </c>
      <c r="J191" s="11">
        <f>+(J192+J193+J194+J195+J196+J197)/6</f>
        <v>0.20931944444444447</v>
      </c>
      <c r="K191" s="11">
        <f>+(K192+K193+K194+K195+K196+K197)/6</f>
        <v>0.48557533068783076</v>
      </c>
      <c r="L191" s="58">
        <f>+(L192+L193+L194+L195+L196+L197)</f>
        <v>0.18588916666666666</v>
      </c>
      <c r="M191" s="58">
        <f>+'Innovación Pública'!AA109</f>
        <v>0.45242683333333333</v>
      </c>
      <c r="N191" s="26"/>
      <c r="O191" s="10"/>
      <c r="P191" s="59"/>
    </row>
    <row r="192" spans="2:16" ht="55.95" customHeight="1" x14ac:dyDescent="0.7">
      <c r="B192" s="33" t="s">
        <v>1705</v>
      </c>
      <c r="C192" s="1002"/>
      <c r="D192" s="13">
        <f>+'Innovación Pública'!I110</f>
        <v>0.20833333333333331</v>
      </c>
      <c r="E192" s="13">
        <f>+'Innovación Pública'!J110</f>
        <v>0.29833333333333334</v>
      </c>
      <c r="F192" s="13">
        <f t="shared" si="40"/>
        <v>0.48722222222222222</v>
      </c>
      <c r="G192" s="13">
        <f>+'Innovación Pública'!K110</f>
        <v>0.10833333333333334</v>
      </c>
      <c r="H192" s="13">
        <f>+'Innovación Pública'!L110</f>
        <v>0.24833333333333332</v>
      </c>
      <c r="I192" s="13">
        <f>+'Innovación Pública'!U110</f>
        <v>1</v>
      </c>
      <c r="J192" s="13">
        <f>+'Innovación Pública'!X110</f>
        <v>0.18888888888888888</v>
      </c>
      <c r="K192" s="13">
        <f>+'Innovación Pública'!Y110</f>
        <v>0.76666666666666672</v>
      </c>
      <c r="L192" s="34">
        <f>+'Innovación Pública'!Z110</f>
        <v>2.7666666666666669E-2</v>
      </c>
      <c r="M192" s="34">
        <f>+'Innovación Pública'!AA110</f>
        <v>0.51666666666666672</v>
      </c>
      <c r="N192" s="26"/>
      <c r="O192" s="10"/>
      <c r="P192" s="59"/>
    </row>
    <row r="193" spans="2:16" ht="43.95" customHeight="1" x14ac:dyDescent="0.7">
      <c r="B193" s="33" t="s">
        <v>1706</v>
      </c>
      <c r="C193" s="1002"/>
      <c r="D193" s="13">
        <f>+'Innovación Pública'!I116</f>
        <v>0.19999999999999998</v>
      </c>
      <c r="E193" s="13">
        <f>+'Innovación Pública'!J116</f>
        <v>0.28150000000000003</v>
      </c>
      <c r="F193" s="13">
        <f t="shared" si="40"/>
        <v>0.46550000000000002</v>
      </c>
      <c r="G193" s="13">
        <f>+'Innovación Pública'!K116</f>
        <v>0.17499999999999999</v>
      </c>
      <c r="H193" s="13">
        <f>+'Innovación Pública'!L116</f>
        <v>0.28525</v>
      </c>
      <c r="I193" s="13">
        <f>+'Innovación Pública'!U116</f>
        <v>0.91185897435897445</v>
      </c>
      <c r="J193" s="13">
        <f>+'Innovación Pública'!X116</f>
        <v>0.18400000000000002</v>
      </c>
      <c r="K193" s="13">
        <f>+'Innovación Pública'!Y116</f>
        <v>0.47428333333333333</v>
      </c>
      <c r="L193" s="34">
        <f>+'Innovación Pública'!Z116</f>
        <v>3.2840000000000001E-2</v>
      </c>
      <c r="M193" s="34">
        <f>+'Innovación Pública'!AA116</f>
        <v>0.47570499999999999</v>
      </c>
      <c r="N193" s="26"/>
      <c r="O193" s="10"/>
      <c r="P193" s="59"/>
    </row>
    <row r="194" spans="2:16" ht="42" customHeight="1" x14ac:dyDescent="0.7">
      <c r="B194" s="33" t="s">
        <v>1707</v>
      </c>
      <c r="C194" s="1002"/>
      <c r="D194" s="13">
        <f>+'Innovación Pública'!I123</f>
        <v>0.25</v>
      </c>
      <c r="E194" s="13">
        <f>+'Innovación Pública'!J123</f>
        <v>0.27040816326530609</v>
      </c>
      <c r="F194" s="13">
        <f t="shared" si="40"/>
        <v>0.52982482993197277</v>
      </c>
      <c r="G194" s="13">
        <f>+'Innovación Pública'!K123</f>
        <v>0.2</v>
      </c>
      <c r="H194" s="13">
        <f>+'Innovación Pública'!L123</f>
        <v>0.26428571428571429</v>
      </c>
      <c r="I194" s="13">
        <f>+'Innovación Pública'!U123</f>
        <v>0.59285714285714286</v>
      </c>
      <c r="J194" s="13">
        <f>+'Innovación Pública'!X123</f>
        <v>0.25941666666666668</v>
      </c>
      <c r="K194" s="13">
        <f>+'Innovación Pública'!Y123</f>
        <v>0.43590476190476191</v>
      </c>
      <c r="L194" s="34">
        <f>+'Innovación Pública'!Z123</f>
        <v>4.8570000000000002E-2</v>
      </c>
      <c r="M194" s="34">
        <f>+'Innovación Pública'!AA123</f>
        <v>0.47270000000000001</v>
      </c>
      <c r="N194" s="26"/>
      <c r="O194" s="10"/>
      <c r="P194" s="59"/>
    </row>
    <row r="195" spans="2:16" ht="39" customHeight="1" x14ac:dyDescent="0.7">
      <c r="B195" s="33" t="s">
        <v>1708</v>
      </c>
      <c r="C195" s="1002"/>
      <c r="D195" s="13">
        <f>+'Innovación Pública'!I131</f>
        <v>0.41111111111111109</v>
      </c>
      <c r="E195" s="13">
        <f>+'Innovación Pública'!J131</f>
        <v>0.41111111111111109</v>
      </c>
      <c r="F195" s="13">
        <f t="shared" si="40"/>
        <v>0.72222222222222221</v>
      </c>
      <c r="G195" s="13">
        <f>+'Innovación Pública'!K131</f>
        <v>0.37333333333333329</v>
      </c>
      <c r="H195" s="13">
        <f>+'Innovación Pública'!L131</f>
        <v>0.37333333333333329</v>
      </c>
      <c r="I195" s="13">
        <f>+'Innovación Pública'!U131</f>
        <v>1</v>
      </c>
      <c r="J195" s="13">
        <f>+'Innovación Pública'!X131</f>
        <v>0.31111111111111112</v>
      </c>
      <c r="K195" s="13">
        <f>+'Innovación Pública'!Y131</f>
        <v>0.72222222222222221</v>
      </c>
      <c r="L195" s="34">
        <f>+'Innovación Pública'!Z131</f>
        <v>4.3999999999999997E-2</v>
      </c>
      <c r="M195" s="34">
        <f>+'Innovación Pública'!AA131</f>
        <v>0.66666666666666674</v>
      </c>
      <c r="N195" s="26"/>
      <c r="O195" s="10"/>
      <c r="P195" s="59"/>
    </row>
    <row r="196" spans="2:16" ht="33.6" customHeight="1" x14ac:dyDescent="0.7">
      <c r="B196" s="33" t="s">
        <v>1709</v>
      </c>
      <c r="C196" s="1002"/>
      <c r="D196" s="13">
        <f>+'Innovación Pública'!I134</f>
        <v>0.25</v>
      </c>
      <c r="E196" s="13">
        <f>+'Innovación Pública'!J134</f>
        <v>0.25</v>
      </c>
      <c r="F196" s="13">
        <f t="shared" ref="F196:F206" si="57">+J196+E196</f>
        <v>0.40625</v>
      </c>
      <c r="G196" s="13">
        <f>+'Innovación Pública'!K134</f>
        <v>0.2</v>
      </c>
      <c r="H196" s="13">
        <f>+'Innovación Pública'!L134</f>
        <v>0.27500000000000002</v>
      </c>
      <c r="I196" s="13">
        <f>+'Innovación Pública'!U134</f>
        <v>0.39666666666666667</v>
      </c>
      <c r="J196" s="60">
        <f>+'Innovación Pública'!X134</f>
        <v>0.15625</v>
      </c>
      <c r="K196" s="60">
        <f>+'Innovación Pública'!Y134</f>
        <v>0.25812499999999999</v>
      </c>
      <c r="L196" s="34">
        <f>+'Innovación Pública'!Z134</f>
        <v>2.5000000000000001E-2</v>
      </c>
      <c r="M196" s="34">
        <f>+'Innovación Pública'!AA134</f>
        <v>0.23299999999999998</v>
      </c>
      <c r="N196" s="26"/>
      <c r="O196" s="10"/>
      <c r="P196" s="59"/>
    </row>
    <row r="197" spans="2:16" ht="48.6" customHeight="1" x14ac:dyDescent="0.7">
      <c r="B197" s="36" t="s">
        <v>1710</v>
      </c>
      <c r="C197" s="1003"/>
      <c r="D197" s="37">
        <f>+'Innovación Pública'!I139</f>
        <v>0.15625</v>
      </c>
      <c r="E197" s="37">
        <f>+'Innovación Pública'!J139</f>
        <v>0.28125</v>
      </c>
      <c r="F197" s="37">
        <f t="shared" si="57"/>
        <v>0.4375</v>
      </c>
      <c r="G197" s="37">
        <f>+'Innovación Pública'!K139</f>
        <v>0.15625</v>
      </c>
      <c r="H197" s="37">
        <f>+'Innovación Pública'!L139</f>
        <v>0.28125</v>
      </c>
      <c r="I197" s="37">
        <f>+'Innovación Pública'!U139</f>
        <v>0.57600000000000007</v>
      </c>
      <c r="J197" s="67">
        <f>+'Innovación Pública'!X139</f>
        <v>0.15625</v>
      </c>
      <c r="K197" s="67">
        <f>+'Innovación Pública'!Y139</f>
        <v>0.25625000000000003</v>
      </c>
      <c r="L197" s="38">
        <f>+'Innovación Pública'!Z139</f>
        <v>7.8125E-3</v>
      </c>
      <c r="M197" s="38">
        <f>+'Innovación Pública'!AA139</f>
        <v>0.25625000000000003</v>
      </c>
      <c r="N197" s="26"/>
      <c r="O197" s="10"/>
      <c r="P197" s="59"/>
    </row>
    <row r="198" spans="2:16" ht="120" customHeight="1" x14ac:dyDescent="0.7">
      <c r="B198" s="28" t="str">
        <f>+'Capitulo Etnico'!B3:C3</f>
        <v xml:space="preserve">CAPÍTULO DE LOS PUEBLOS Y COMUNIDADES ÉTNICAS
</v>
      </c>
      <c r="C198" s="999">
        <v>0.02</v>
      </c>
      <c r="D198" s="29">
        <f>+'Capitulo Etnico'!I3</f>
        <v>0.25509259259259259</v>
      </c>
      <c r="E198" s="29">
        <f>+'Capitulo Etnico'!J3</f>
        <v>0.26321869488536154</v>
      </c>
      <c r="F198" s="29">
        <f t="shared" si="57"/>
        <v>0.31880731922398586</v>
      </c>
      <c r="G198" s="29">
        <f>+'Capitulo Etnico'!K3</f>
        <v>6.9222222222222241E-2</v>
      </c>
      <c r="H198" s="29">
        <f>+'Capitulo Etnico'!L3</f>
        <v>0.24656944444444442</v>
      </c>
      <c r="I198" s="29">
        <f>+'Capitulo Etnico'!U3</f>
        <v>0.58101851851851849</v>
      </c>
      <c r="J198" s="29">
        <f>+'Capitulo Etnico'!X3</f>
        <v>5.5588624338624326E-2</v>
      </c>
      <c r="K198" s="29">
        <f>+'Capitulo Etnico'!Y3</f>
        <v>0.22464153439153436</v>
      </c>
      <c r="L198" s="30">
        <f>+'Capitulo Etnico'!Z3</f>
        <v>2.2726250000000003E-2</v>
      </c>
      <c r="M198" s="30">
        <f>+'Capitulo Etnico'!AA3</f>
        <v>0.18269812500000002</v>
      </c>
      <c r="N198" s="26"/>
      <c r="O198" s="10"/>
      <c r="P198" s="59"/>
    </row>
    <row r="199" spans="2:16" ht="142.19999999999999" customHeight="1" x14ac:dyDescent="0.7">
      <c r="B199" s="31" t="str">
        <f>+'Capitulo Etnico'!B4:C4</f>
        <v xml:space="preserve"> Fortalecimiento al Desarrollo Afro-Territorial de la Población Negra, Afrocolombiana, Raizal y Palenquera
</v>
      </c>
      <c r="C199" s="1000"/>
      <c r="D199" s="22">
        <f>+(D200+D201+D202)/2</f>
        <v>0.42499999999999999</v>
      </c>
      <c r="E199" s="22">
        <f>+(E200+E201+E202)/3</f>
        <v>0.21841269841269842</v>
      </c>
      <c r="F199" s="22">
        <f t="shared" si="57"/>
        <v>0.28329365079365076</v>
      </c>
      <c r="G199" s="23">
        <f>+(G200+G201+G202)/3</f>
        <v>5.4833333333333345E-2</v>
      </c>
      <c r="H199" s="23">
        <f t="shared" ref="H199:I199" si="58">+(H200+H201+H202)/3</f>
        <v>0.20013888888888887</v>
      </c>
      <c r="I199" s="23">
        <f t="shared" si="58"/>
        <v>0.6480555555555555</v>
      </c>
      <c r="J199" s="11">
        <f>+(J200+J201+J202)/3</f>
        <v>6.4880952380952372E-2</v>
      </c>
      <c r="K199" s="11">
        <f>+(K200+K201+K202)/3</f>
        <v>0.24923214285714282</v>
      </c>
      <c r="L199" s="764">
        <f>+(L200+L201+L202)</f>
        <v>5.0800000000000005E-2</v>
      </c>
      <c r="M199" s="764">
        <f>+'Capitulo Etnico'!AA4</f>
        <v>0.18704000000000004</v>
      </c>
      <c r="N199" s="26"/>
      <c r="O199" s="10"/>
      <c r="P199" s="59"/>
    </row>
    <row r="200" spans="2:16" ht="103.95" customHeight="1" x14ac:dyDescent="0.7">
      <c r="B200" s="33" t="s">
        <v>1711</v>
      </c>
      <c r="C200" s="1000"/>
      <c r="D200" s="20">
        <f>+'Capitulo Etnico'!I5</f>
        <v>0.19999999999999998</v>
      </c>
      <c r="E200" s="20">
        <f>+'Capitulo Etnico'!J5</f>
        <v>0.22666666666666666</v>
      </c>
      <c r="F200" s="20">
        <f t="shared" si="57"/>
        <v>0.36416666666666664</v>
      </c>
      <c r="G200" s="20">
        <f>+'Capitulo Etnico'!K5</f>
        <v>8.7000000000000008E-2</v>
      </c>
      <c r="H200" s="20">
        <f>+'Capitulo Etnico'!L5</f>
        <v>0.16666666666666663</v>
      </c>
      <c r="I200" s="20">
        <f>+'Capitulo Etnico'!U5</f>
        <v>0.65249999999999997</v>
      </c>
      <c r="J200" s="13">
        <f>+'Capitulo Etnico'!X5</f>
        <v>0.13749999999999998</v>
      </c>
      <c r="K200" s="13">
        <f>+'Capitulo Etnico'!Y5</f>
        <v>0.24412499999999998</v>
      </c>
      <c r="L200" s="35">
        <f>+'Capitulo Etnico'!Z5</f>
        <v>4.2800000000000005E-2</v>
      </c>
      <c r="M200" s="35">
        <f>+'Capitulo Etnico'!AA5</f>
        <v>0.20510000000000003</v>
      </c>
      <c r="N200" s="26"/>
      <c r="O200" s="10"/>
      <c r="P200" s="59"/>
    </row>
    <row r="201" spans="2:16" ht="66.599999999999994" customHeight="1" x14ac:dyDescent="0.7">
      <c r="B201" s="33" t="s">
        <v>1712</v>
      </c>
      <c r="C201" s="1000"/>
      <c r="D201" s="20">
        <f>+'Capitulo Etnico'!I14</f>
        <v>0.25</v>
      </c>
      <c r="E201" s="20">
        <f>+'Capitulo Etnico'!J14</f>
        <v>9.6428571428571433E-2</v>
      </c>
      <c r="F201" s="20">
        <f t="shared" si="57"/>
        <v>9.6428571428571433E-2</v>
      </c>
      <c r="G201" s="20">
        <f>+'Capitulo Etnico'!K14</f>
        <v>3.7500000000000006E-2</v>
      </c>
      <c r="H201" s="20">
        <f>+'Capitulo Etnico'!L14</f>
        <v>0.1075</v>
      </c>
      <c r="I201" s="20">
        <f>+'Capitulo Etnico'!U14</f>
        <v>0.66666666666666663</v>
      </c>
      <c r="J201" s="13">
        <f>+'Capitulo Etnico'!X14</f>
        <v>0</v>
      </c>
      <c r="K201" s="13">
        <f>+'Capitulo Etnico'!Y14</f>
        <v>0.20357142857142857</v>
      </c>
      <c r="L201" s="35">
        <f>+'Capitulo Etnico'!Z14</f>
        <v>0</v>
      </c>
      <c r="M201" s="35">
        <f>+'Capitulo Etnico'!AA14</f>
        <v>0.13250000000000001</v>
      </c>
      <c r="N201" s="26"/>
      <c r="O201" s="10"/>
      <c r="P201" s="59"/>
    </row>
    <row r="202" spans="2:16" ht="57" customHeight="1" x14ac:dyDescent="0.7">
      <c r="B202" s="33" t="s">
        <v>1713</v>
      </c>
      <c r="C202" s="1000"/>
      <c r="D202" s="20">
        <f>+'Capitulo Etnico'!I22</f>
        <v>0.4</v>
      </c>
      <c r="E202" s="20">
        <f>+'Capitulo Etnico'!J22</f>
        <v>0.33214285714285718</v>
      </c>
      <c r="F202" s="20">
        <f t="shared" si="57"/>
        <v>0.38928571428571435</v>
      </c>
      <c r="G202" s="20">
        <f>+'Capitulo Etnico'!K22</f>
        <v>4.0000000000000008E-2</v>
      </c>
      <c r="H202" s="20">
        <f>+'Capitulo Etnico'!L22</f>
        <v>0.32625000000000004</v>
      </c>
      <c r="I202" s="20">
        <f>+'Capitulo Etnico'!U22</f>
        <v>0.625</v>
      </c>
      <c r="J202" s="13">
        <f>+'Capitulo Etnico'!X22</f>
        <v>5.7142857142857141E-2</v>
      </c>
      <c r="K202" s="13">
        <f>+'Capitulo Etnico'!Y22</f>
        <v>0.3</v>
      </c>
      <c r="L202" s="34">
        <f>+'Capitulo Etnico'!Z22</f>
        <v>8.0000000000000019E-3</v>
      </c>
      <c r="M202" s="34">
        <f>+'Capitulo Etnico'!AA22</f>
        <v>0.26</v>
      </c>
      <c r="N202" s="26"/>
      <c r="O202" s="10"/>
      <c r="P202" s="59"/>
    </row>
    <row r="203" spans="2:16" ht="49.8" x14ac:dyDescent="0.7">
      <c r="B203" s="31" t="str">
        <f>+'Capitulo Etnico'!B30:C30</f>
        <v xml:space="preserve">Territorio Sitio de Paz y Pensamiento Colectivo
</v>
      </c>
      <c r="C203" s="1000"/>
      <c r="D203" s="22">
        <f t="shared" ref="D203:G203" si="59">+(D204+D205+D206)/3</f>
        <v>0.22685185185185186</v>
      </c>
      <c r="E203" s="22">
        <f t="shared" si="59"/>
        <v>0.30802469135802468</v>
      </c>
      <c r="F203" s="22">
        <f t="shared" si="57"/>
        <v>0.35432098765432096</v>
      </c>
      <c r="G203" s="23">
        <f t="shared" si="59"/>
        <v>8.3611111111111122E-2</v>
      </c>
      <c r="H203" s="23">
        <f t="shared" ref="H203:I203" si="60">+(H204+H205+H206)/3</f>
        <v>0.29299999999999998</v>
      </c>
      <c r="I203" s="23">
        <f t="shared" si="60"/>
        <v>0.51398148148148148</v>
      </c>
      <c r="J203" s="11">
        <f>+(J204+J205+J206)/3</f>
        <v>4.6296296296296287E-2</v>
      </c>
      <c r="K203" s="11">
        <f>+(K204+K205+K206)/3</f>
        <v>0.20005092592592591</v>
      </c>
      <c r="L203" s="58">
        <f>+(L204+L205+L206)</f>
        <v>9.6249999999999999E-3</v>
      </c>
      <c r="M203" s="58">
        <f>+'Capitulo Etnico'!AA30</f>
        <v>0.16967249999999998</v>
      </c>
      <c r="N203" s="26"/>
      <c r="O203" s="10"/>
      <c r="P203" s="59"/>
    </row>
    <row r="204" spans="2:16" ht="33.6" customHeight="1" x14ac:dyDescent="0.7">
      <c r="B204" s="33" t="s">
        <v>1714</v>
      </c>
      <c r="C204" s="1000"/>
      <c r="D204" s="20">
        <f>+'Capitulo Etnico'!I31</f>
        <v>0.30555555555555552</v>
      </c>
      <c r="E204" s="20">
        <f>+'Capitulo Etnico'!J31</f>
        <v>0.33462962962962967</v>
      </c>
      <c r="F204" s="20">
        <f t="shared" si="57"/>
        <v>0.47351851851851856</v>
      </c>
      <c r="G204" s="20">
        <f>+'Capitulo Etnico'!K31</f>
        <v>0.18208333333333335</v>
      </c>
      <c r="H204" s="20">
        <f>+'Capitulo Etnico'!L31</f>
        <v>0.29941666666666666</v>
      </c>
      <c r="I204" s="20">
        <f>+'Capitulo Etnico'!U31</f>
        <v>0.42777777777777781</v>
      </c>
      <c r="J204" s="13">
        <f>+'Capitulo Etnico'!X31</f>
        <v>0.13888888888888887</v>
      </c>
      <c r="K204" s="13">
        <f>+'Capitulo Etnico'!Y31</f>
        <v>0.22215277777777775</v>
      </c>
      <c r="L204" s="34">
        <f>+'Capitulo Etnico'!Z31</f>
        <v>9.6249999999999999E-3</v>
      </c>
      <c r="M204" s="34">
        <f>+'Capitulo Etnico'!AA31</f>
        <v>0.10950833333333335</v>
      </c>
      <c r="N204" s="26"/>
      <c r="O204" s="10"/>
      <c r="P204" s="59"/>
    </row>
    <row r="205" spans="2:16" ht="40.200000000000003" customHeight="1" x14ac:dyDescent="0.7">
      <c r="B205" s="33" t="s">
        <v>1715</v>
      </c>
      <c r="C205" s="1000"/>
      <c r="D205" s="20">
        <f>+'Capitulo Etnico'!I40</f>
        <v>0.25</v>
      </c>
      <c r="E205" s="20">
        <f>+'Capitulo Etnico'!J40</f>
        <v>0.32777777777777778</v>
      </c>
      <c r="F205" s="20">
        <f t="shared" si="57"/>
        <v>0.32777777777777778</v>
      </c>
      <c r="G205" s="20">
        <f>+'Capitulo Etnico'!K40</f>
        <v>3.7499999999999999E-2</v>
      </c>
      <c r="H205" s="20">
        <f>+'Capitulo Etnico'!L40</f>
        <v>0.28416666666666668</v>
      </c>
      <c r="I205" s="20">
        <f>+'Capitulo Etnico'!U40</f>
        <v>0.5</v>
      </c>
      <c r="J205" s="13">
        <f>+'Capitulo Etnico'!X40</f>
        <v>0</v>
      </c>
      <c r="K205" s="13">
        <f>+'Capitulo Etnico'!Y40</f>
        <v>0.219</v>
      </c>
      <c r="L205" s="34">
        <f>+'Capitulo Etnico'!Z40</f>
        <v>0</v>
      </c>
      <c r="M205" s="34">
        <f>+'Capitulo Etnico'!AA40</f>
        <v>0.22239999999999999</v>
      </c>
      <c r="N205" s="26"/>
      <c r="O205" s="10"/>
      <c r="P205" s="59"/>
    </row>
    <row r="206" spans="2:16" ht="46.2" customHeight="1" x14ac:dyDescent="0.7">
      <c r="B206" s="36" t="s">
        <v>1716</v>
      </c>
      <c r="C206" s="1001"/>
      <c r="D206" s="40">
        <f>+'Capitulo Etnico'!I47</f>
        <v>0.125</v>
      </c>
      <c r="E206" s="40">
        <f>+'Capitulo Etnico'!J47</f>
        <v>0.26166666666666666</v>
      </c>
      <c r="F206" s="40">
        <f t="shared" si="57"/>
        <v>0.26166666666666666</v>
      </c>
      <c r="G206" s="40">
        <f>+'Capitulo Etnico'!K47</f>
        <v>3.125E-2</v>
      </c>
      <c r="H206" s="40">
        <f>+'Capitulo Etnico'!L47</f>
        <v>0.29541666666666666</v>
      </c>
      <c r="I206" s="40">
        <f>+'Capitulo Etnico'!U47</f>
        <v>0.61416666666666664</v>
      </c>
      <c r="J206" s="37">
        <f>+'Capitulo Etnico'!X47</f>
        <v>0</v>
      </c>
      <c r="K206" s="37">
        <f>+'Capitulo Etnico'!Y47</f>
        <v>0.15899999999999997</v>
      </c>
      <c r="L206" s="38">
        <f>+'Capitulo Etnico'!Z47</f>
        <v>0</v>
      </c>
      <c r="M206" s="38">
        <f>+'Capitulo Etnico'!AA47</f>
        <v>0.17524999999999999</v>
      </c>
      <c r="N206" s="26"/>
      <c r="O206" s="10"/>
      <c r="P206" s="59"/>
    </row>
  </sheetData>
  <sheetProtection password="DEFC" sheet="1" objects="1" scenarios="1"/>
  <autoFilter ref="B2:T206"/>
  <mergeCells count="6">
    <mergeCell ref="C198:C206"/>
    <mergeCell ref="C4:C45"/>
    <mergeCell ref="C46:C91"/>
    <mergeCell ref="C92:C122"/>
    <mergeCell ref="C123:C160"/>
    <mergeCell ref="C161:C19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000"/>
  <sheetViews>
    <sheetView tabSelected="1" zoomScale="20" zoomScaleNormal="20" workbookViewId="0">
      <selection activeCell="Y9" sqref="Y9"/>
    </sheetView>
  </sheetViews>
  <sheetFormatPr baseColWidth="10" defaultColWidth="14.44140625" defaultRowHeight="15" customHeight="1" x14ac:dyDescent="0.3"/>
  <cols>
    <col min="1" max="1" width="10.6640625" customWidth="1"/>
    <col min="2" max="2" width="80.88671875" customWidth="1"/>
    <col min="3" max="3" width="42.5546875" customWidth="1"/>
    <col min="4" max="4" width="47.88671875" customWidth="1"/>
    <col min="5" max="5" width="44" customWidth="1"/>
    <col min="6" max="6" width="50.109375" customWidth="1"/>
    <col min="7" max="7" width="53.77734375" customWidth="1"/>
    <col min="8" max="8" width="57.21875" hidden="1" customWidth="1"/>
    <col min="9" max="9" width="1.109375" customWidth="1"/>
    <col min="10" max="10" width="28.33203125" hidden="1" customWidth="1"/>
    <col min="11" max="11" width="51" customWidth="1"/>
    <col min="12" max="12" width="49.77734375" customWidth="1"/>
    <col min="13" max="13" width="54.33203125" customWidth="1"/>
    <col min="14" max="14" width="55.44140625" customWidth="1"/>
    <col min="15" max="15" width="49.6640625" customWidth="1"/>
    <col min="16" max="17" width="49.33203125" customWidth="1"/>
    <col min="18" max="18" width="57.44140625" customWidth="1"/>
    <col min="19" max="19" width="44.109375" customWidth="1"/>
    <col min="20" max="20" width="35.5546875" hidden="1" customWidth="1"/>
    <col min="21" max="21" width="23" hidden="1" customWidth="1"/>
    <col min="22" max="24" width="10.6640625" customWidth="1"/>
    <col min="25" max="26" width="30" customWidth="1"/>
    <col min="27" max="38" width="10.6640625" customWidth="1"/>
  </cols>
  <sheetData>
    <row r="1" spans="2:28" ht="15" customHeight="1" thickBot="1" x14ac:dyDescent="0.35"/>
    <row r="2" spans="2:28" s="720" customFormat="1" ht="157.5" customHeight="1" x14ac:dyDescent="0.45">
      <c r="B2" s="725"/>
      <c r="C2" s="726" t="s">
        <v>1156</v>
      </c>
      <c r="D2" s="727" t="s">
        <v>1852</v>
      </c>
      <c r="E2" s="728" t="s">
        <v>1823</v>
      </c>
      <c r="F2" s="728" t="s">
        <v>1849</v>
      </c>
      <c r="G2" s="746" t="s">
        <v>1887</v>
      </c>
      <c r="H2" s="729" t="s">
        <v>1853</v>
      </c>
      <c r="I2" s="729" t="s">
        <v>1854</v>
      </c>
      <c r="J2" s="729" t="s">
        <v>1855</v>
      </c>
      <c r="K2" s="730" t="s">
        <v>1894</v>
      </c>
      <c r="L2" s="729" t="s">
        <v>1877</v>
      </c>
      <c r="M2" s="730" t="s">
        <v>1888</v>
      </c>
      <c r="N2" s="731" t="s">
        <v>1889</v>
      </c>
      <c r="O2" s="732" t="s">
        <v>1516</v>
      </c>
      <c r="P2" s="733" t="s">
        <v>1847</v>
      </c>
      <c r="Q2" s="734" t="s">
        <v>1848</v>
      </c>
      <c r="R2" s="735" t="s">
        <v>1886</v>
      </c>
      <c r="T2" s="721" t="s">
        <v>1154</v>
      </c>
      <c r="U2" s="722" t="s">
        <v>1155</v>
      </c>
      <c r="Y2" s="1008" t="s">
        <v>1492</v>
      </c>
      <c r="Z2" s="1008" t="s">
        <v>1493</v>
      </c>
    </row>
    <row r="3" spans="2:28" ht="186.6" customHeight="1" thickBot="1" x14ac:dyDescent="0.7">
      <c r="B3" s="736" t="s">
        <v>1518</v>
      </c>
      <c r="C3" s="54"/>
      <c r="D3" s="755">
        <v>0.2014</v>
      </c>
      <c r="E3" s="887">
        <f>+'PLAN DE DESARROLLO 2024 - 2027'!E3</f>
        <v>0.29446456020987283</v>
      </c>
      <c r="F3" s="887">
        <f>+D3+E3</f>
        <v>0.4958645602098728</v>
      </c>
      <c r="G3" s="756">
        <f>+K3-D3</f>
        <v>0.18279748559584827</v>
      </c>
      <c r="H3" s="757"/>
      <c r="I3" s="757"/>
      <c r="J3" s="757"/>
      <c r="K3" s="938">
        <f>+'PLAN DE DESARROLLO 2024 - 2027'!K3</f>
        <v>0.38419748559584826</v>
      </c>
      <c r="L3" s="757">
        <v>0.7941582819202514</v>
      </c>
      <c r="M3" s="784">
        <f>+'PLAN DE DESARROLLO 2024 - 2027'!I3</f>
        <v>0.61053809185039687</v>
      </c>
      <c r="N3" s="761">
        <f>+G3/E3</f>
        <v>0.6207792389874135</v>
      </c>
      <c r="O3" s="758">
        <f>+'PLAN DE DESARROLLO 2024 - 2027'!G3</f>
        <v>0.1793132482964562</v>
      </c>
      <c r="P3" s="758">
        <f>+'PLAN DE DESARROLLO 2024 - 2027'!H3</f>
        <v>0.25466066453510566</v>
      </c>
      <c r="Q3" s="759">
        <v>0.16474944869063249</v>
      </c>
      <c r="R3" s="888">
        <f>+'PLAN DE DESARROLLO 2024 - 2027'!M3</f>
        <v>0.36713259803481907</v>
      </c>
      <c r="T3" s="52"/>
      <c r="U3" s="1"/>
      <c r="Y3" s="1009"/>
      <c r="Z3" s="1009"/>
    </row>
    <row r="4" spans="2:28" ht="92.25" customHeight="1" thickBot="1" x14ac:dyDescent="1.1499999999999999">
      <c r="B4" s="737" t="str">
        <f>+'Seguridad Humana'!B3:C3</f>
        <v xml:space="preserve"> SEGURIDAD HUMANA
</v>
      </c>
      <c r="C4" s="4">
        <v>0.3</v>
      </c>
      <c r="D4" s="711">
        <v>0.25472941442069297</v>
      </c>
      <c r="E4" s="833">
        <f>+'PLAN DE DESARROLLO 2024 - 2027'!E4</f>
        <v>0.37391117816579211</v>
      </c>
      <c r="F4" s="834">
        <f>+D4+E4</f>
        <v>0.62864059258648508</v>
      </c>
      <c r="G4" s="712">
        <f>+K4-D4</f>
        <v>0.15452130754952864</v>
      </c>
      <c r="H4" s="723"/>
      <c r="I4" s="723"/>
      <c r="J4" s="723"/>
      <c r="K4" s="723">
        <f>+'PLAN DE DESARROLLO 2024 - 2027'!K4</f>
        <v>0.40925072197022161</v>
      </c>
      <c r="L4" s="723">
        <v>0.84332704195548547</v>
      </c>
      <c r="M4" s="723">
        <f>+'PLAN DE DESARROLLO 2024 - 2027'!I4</f>
        <v>0.60078987989606447</v>
      </c>
      <c r="N4" s="724">
        <f>+G4/E4</f>
        <v>0.41325672130886104</v>
      </c>
      <c r="O4" s="711">
        <f>+'PLAN DE DESARROLLO 2024 - 2027'!G4</f>
        <v>0.1963447624265218</v>
      </c>
      <c r="P4" s="711">
        <f>+'PLAN DE DESARROLLO 2024 - 2027'!H4</f>
        <v>0.2531166550657612</v>
      </c>
      <c r="Q4" s="712">
        <v>0.20761825159703684</v>
      </c>
      <c r="R4" s="738">
        <f>+'PLAN DE DESARROLLO 2024 - 2027'!M4</f>
        <v>0.3816161125871384</v>
      </c>
      <c r="T4" s="53"/>
      <c r="U4" s="3"/>
      <c r="Y4" s="24">
        <v>697</v>
      </c>
      <c r="Z4" s="25">
        <f>1/Y4</f>
        <v>1.4347202295552368E-3</v>
      </c>
      <c r="AA4" s="15"/>
    </row>
    <row r="5" spans="2:28" ht="91.2" customHeight="1" x14ac:dyDescent="1.1000000000000001">
      <c r="B5" s="737" t="str">
        <f>+'Vida Digna'!B3:C3</f>
        <v xml:space="preserve"> VIDA DIGNA
</v>
      </c>
      <c r="C5" s="4">
        <v>0.2</v>
      </c>
      <c r="D5" s="711">
        <v>0.22389547133016827</v>
      </c>
      <c r="E5" s="833">
        <f>+'PLAN DE DESARROLLO 2024 - 2027'!E46</f>
        <v>0.29872026705958277</v>
      </c>
      <c r="F5" s="834">
        <f t="shared" ref="F5:F9" si="0">+D5+E5</f>
        <v>0.52261573838975106</v>
      </c>
      <c r="G5" s="712">
        <f>+K5-D5</f>
        <v>0.19845559025193324</v>
      </c>
      <c r="H5" s="723"/>
      <c r="I5" s="723"/>
      <c r="J5" s="723"/>
      <c r="K5" s="723">
        <f>+'PLAN DE DESARROLLO 2024 - 2027'!K46</f>
        <v>0.42235106158210151</v>
      </c>
      <c r="L5" s="723">
        <v>0.85198226383644504</v>
      </c>
      <c r="M5" s="723">
        <f>+'PLAN DE DESARROLLO 2024 - 2027'!I46</f>
        <v>0.601365659411503</v>
      </c>
      <c r="N5" s="724">
        <f t="shared" ref="N5:N9" si="1">+G5/E5</f>
        <v>0.66435261392006351</v>
      </c>
      <c r="O5" s="711">
        <f>+'PLAN DE DESARROLLO 2024 - 2027'!G46</f>
        <v>0.20215522261646302</v>
      </c>
      <c r="P5" s="711">
        <f>+'PLAN DE DESARROLLO 2024 - 2027'!H46</f>
        <v>0.25366832876982387</v>
      </c>
      <c r="Q5" s="712">
        <v>0.18203033285293824</v>
      </c>
      <c r="R5" s="738">
        <f>+'PLAN DE DESARROLLO 2024 - 2027'!M46</f>
        <v>0.39733460395963061</v>
      </c>
      <c r="T5" s="53"/>
      <c r="U5" s="2"/>
      <c r="Z5" s="6"/>
      <c r="AA5" s="16"/>
      <c r="AB5" s="16"/>
    </row>
    <row r="6" spans="2:28" ht="105.6" customHeight="1" x14ac:dyDescent="1.1000000000000001">
      <c r="B6" s="737" t="str">
        <f>+'Desarrollo Economico'!B3:B3</f>
        <v xml:space="preserve"> DESARROLLO ECONÓMICO EQUITATIVO
</v>
      </c>
      <c r="C6" s="4">
        <v>0.15</v>
      </c>
      <c r="D6" s="711">
        <v>0.23537004965661618</v>
      </c>
      <c r="E6" s="833">
        <f>+'PLAN DE DESARROLLO 2024 - 2027'!E92</f>
        <v>0.30996708312904808</v>
      </c>
      <c r="F6" s="834">
        <f t="shared" si="0"/>
        <v>0.5453371327856642</v>
      </c>
      <c r="G6" s="712">
        <f t="shared" ref="G6:G9" si="2">+K6-D6</f>
        <v>0.15572259711418696</v>
      </c>
      <c r="H6" s="723"/>
      <c r="I6" s="723"/>
      <c r="J6" s="723"/>
      <c r="K6" s="723">
        <f>+'PLAN DE DESARROLLO 2024 - 2027'!K92</f>
        <v>0.39109264677080313</v>
      </c>
      <c r="L6" s="723">
        <v>0.9432222222222223</v>
      </c>
      <c r="M6" s="723">
        <f>+'PLAN DE DESARROLLO 2024 - 2027'!I92</f>
        <v>0.55594684768286784</v>
      </c>
      <c r="N6" s="724">
        <f t="shared" si="1"/>
        <v>0.50238430333376793</v>
      </c>
      <c r="O6" s="711">
        <f>+'PLAN DE DESARROLLO 2024 - 2027'!G92</f>
        <v>0.19244539710966052</v>
      </c>
      <c r="P6" s="711">
        <f>+'PLAN DE DESARROLLO 2024 - 2027'!H92</f>
        <v>0.29997897073411611</v>
      </c>
      <c r="Q6" s="712">
        <v>0.19709284711832917</v>
      </c>
      <c r="R6" s="738">
        <f>+'PLAN DE DESARROLLO 2024 - 2027'!M92</f>
        <v>0.3787544841412066</v>
      </c>
      <c r="T6" s="53"/>
      <c r="U6" s="2"/>
      <c r="Y6" s="55"/>
      <c r="Z6" s="5"/>
    </row>
    <row r="7" spans="2:28" ht="153.6" customHeight="1" x14ac:dyDescent="1.1000000000000001">
      <c r="B7" s="737" t="str">
        <f>+'Ciudad Conectada'!B3:B3</f>
        <v xml:space="preserve">CARTAGENA CIUDAD CONECTADA Y SOSTENIBLE
</v>
      </c>
      <c r="C7" s="4">
        <v>0.25</v>
      </c>
      <c r="D7" s="711">
        <v>0.22160323916687383</v>
      </c>
      <c r="E7" s="833">
        <f>+'PLAN DE DESARROLLO 2024 - 2027'!E123</f>
        <v>0.23750007608291185</v>
      </c>
      <c r="F7" s="834">
        <f t="shared" si="0"/>
        <v>0.45910331524978565</v>
      </c>
      <c r="G7" s="712">
        <f t="shared" si="2"/>
        <v>0.19775637364429396</v>
      </c>
      <c r="H7" s="723"/>
      <c r="I7" s="723"/>
      <c r="J7" s="723"/>
      <c r="K7" s="723">
        <f>+'PLAN DE DESARROLLO 2024 - 2027'!K123</f>
        <v>0.41935961281116779</v>
      </c>
      <c r="L7" s="723">
        <v>0.81130732140563089</v>
      </c>
      <c r="M7" s="723">
        <f>+'PLAN DE DESARROLLO 2024 - 2027'!I123</f>
        <v>0.67422125170163039</v>
      </c>
      <c r="N7" s="724">
        <f t="shared" si="1"/>
        <v>0.83265814860310505</v>
      </c>
      <c r="O7" s="711">
        <f>+'PLAN DE DESARROLLO 2024 - 2027'!G123</f>
        <v>0.19844971717901827</v>
      </c>
      <c r="P7" s="711">
        <f>+'PLAN DE DESARROLLO 2024 - 2027'!H123</f>
        <v>0.2146543362727274</v>
      </c>
      <c r="Q7" s="712">
        <v>0.1858257807711004</v>
      </c>
      <c r="R7" s="738">
        <f>+'PLAN DE DESARROLLO 2024 - 2027'!M123</f>
        <v>0.32435261166966489</v>
      </c>
      <c r="T7" s="53"/>
      <c r="U7" s="2"/>
    </row>
    <row r="8" spans="2:28" ht="169.2" customHeight="1" x14ac:dyDescent="1.1000000000000001">
      <c r="B8" s="737" t="str">
        <f>+'Innovación Pública'!B3:B3</f>
        <v xml:space="preserve"> INNOVACIÓN PÚBLICA Y PARTICIPACIÓN CIUDADANA
</v>
      </c>
      <c r="C8" s="4">
        <v>0.08</v>
      </c>
      <c r="D8" s="711">
        <v>0.21734598565460142</v>
      </c>
      <c r="E8" s="833">
        <f>+'PLAN DE DESARROLLO 2024 - 2027'!E161</f>
        <v>0.28347006193654073</v>
      </c>
      <c r="F8" s="834">
        <f t="shared" si="0"/>
        <v>0.50081604759114218</v>
      </c>
      <c r="G8" s="712">
        <f t="shared" si="2"/>
        <v>0.22114335039465996</v>
      </c>
      <c r="H8" s="723"/>
      <c r="I8" s="723"/>
      <c r="J8" s="723"/>
      <c r="K8" s="723">
        <f>+'PLAN DE DESARROLLO 2024 - 2027'!K161</f>
        <v>0.43848933604926138</v>
      </c>
      <c r="L8" s="723">
        <v>0.9123330643239469</v>
      </c>
      <c r="M8" s="723">
        <f>+'PLAN DE DESARROLLO 2024 - 2027'!I161</f>
        <v>0.6498863938917967</v>
      </c>
      <c r="N8" s="724">
        <f t="shared" si="1"/>
        <v>0.78012947428701096</v>
      </c>
      <c r="O8" s="711">
        <f>+'PLAN DE DESARROLLO 2024 - 2027'!G161</f>
        <v>0.21726216822485131</v>
      </c>
      <c r="P8" s="711">
        <f>+'PLAN DE DESARROLLO 2024 - 2027'!H161</f>
        <v>0.25997625192376106</v>
      </c>
      <c r="Q8" s="712">
        <v>0.19305031313772361</v>
      </c>
      <c r="R8" s="738">
        <f>+'PLAN DE DESARROLLO 2024 - 2027'!M161</f>
        <v>0.3953194428519276</v>
      </c>
      <c r="T8" s="53"/>
      <c r="U8" s="2"/>
    </row>
    <row r="9" spans="2:28" ht="184.95" customHeight="1" thickBot="1" x14ac:dyDescent="1.1499999999999999">
      <c r="B9" s="739" t="str">
        <f>+'Capitulo Etnico'!B3:C3</f>
        <v xml:space="preserve">CAPÍTULO DE LOS PUEBLOS Y COMUNIDADES ÉTNICAS
</v>
      </c>
      <c r="C9" s="740">
        <v>0.02</v>
      </c>
      <c r="D9" s="741">
        <v>5.5588624338624326E-2</v>
      </c>
      <c r="E9" s="835">
        <f>+'PLAN DE DESARROLLO 2024 - 2027'!E198</f>
        <v>0.26321869488536154</v>
      </c>
      <c r="F9" s="836">
        <f t="shared" si="0"/>
        <v>0.31880731922398586</v>
      </c>
      <c r="G9" s="742">
        <f t="shared" si="2"/>
        <v>0.16905291005291004</v>
      </c>
      <c r="H9" s="743"/>
      <c r="I9" s="743"/>
      <c r="J9" s="743"/>
      <c r="K9" s="743">
        <f>+'PLAN DE DESARROLLO 2024 - 2027'!K198</f>
        <v>0.22464153439153436</v>
      </c>
      <c r="L9" s="743">
        <v>0.40277777777777779</v>
      </c>
      <c r="M9" s="743">
        <f>+'PLAN DE DESARROLLO 2024 - 2027'!I198</f>
        <v>0.58101851851851849</v>
      </c>
      <c r="N9" s="744">
        <f t="shared" si="1"/>
        <v>0.64225267178129919</v>
      </c>
      <c r="O9" s="741">
        <f>+'PLAN DE DESARROLLO 2024 - 2027'!G198</f>
        <v>6.9222222222222241E-2</v>
      </c>
      <c r="P9" s="741">
        <f>+'PLAN DE DESARROLLO 2024 - 2027'!H198</f>
        <v>0.24656944444444442</v>
      </c>
      <c r="Q9" s="742">
        <v>2.2879166666666673E-2</v>
      </c>
      <c r="R9" s="745">
        <f>+'PLAN DE DESARROLLO 2024 - 2027'!M198</f>
        <v>0.18269812500000002</v>
      </c>
      <c r="T9" s="53"/>
      <c r="U9" s="2"/>
    </row>
    <row r="10" spans="2:28" ht="93.6" x14ac:dyDescent="1.7">
      <c r="B10" s="14"/>
      <c r="D10" s="21"/>
      <c r="E10" s="21"/>
      <c r="F10" s="21"/>
      <c r="G10" s="56"/>
      <c r="H10" s="56"/>
      <c r="I10" s="56"/>
      <c r="J10" s="56"/>
      <c r="T10" s="7"/>
    </row>
    <row r="14" spans="2:28" ht="14.4" x14ac:dyDescent="0.3">
      <c r="T14" s="8"/>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spans="29:29" ht="15.75" customHeight="1" x14ac:dyDescent="0.3"/>
    <row r="34" spans="29:29" ht="15.75" customHeight="1" x14ac:dyDescent="0.3"/>
    <row r="35" spans="29:29" ht="15.75" customHeight="1" x14ac:dyDescent="0.3"/>
    <row r="36" spans="29:29" ht="15.75" customHeight="1" x14ac:dyDescent="0.3"/>
    <row r="37" spans="29:29" ht="15.75" customHeight="1" x14ac:dyDescent="0.3"/>
    <row r="38" spans="29:29" ht="15.75" customHeight="1" x14ac:dyDescent="0.3"/>
    <row r="39" spans="29:29" ht="15.75" customHeight="1" x14ac:dyDescent="0.3"/>
    <row r="40" spans="29:29" ht="15.75" customHeight="1" x14ac:dyDescent="0.3"/>
    <row r="41" spans="29:29" ht="15.75" customHeight="1" x14ac:dyDescent="0.3"/>
    <row r="42" spans="29:29" ht="15.75" customHeight="1" x14ac:dyDescent="0.3"/>
    <row r="43" spans="29:29" ht="15.75" customHeight="1" x14ac:dyDescent="0.3"/>
    <row r="44" spans="29:29" ht="15.75" customHeight="1" x14ac:dyDescent="0.3"/>
    <row r="45" spans="29:29" ht="15.75" customHeight="1" x14ac:dyDescent="0.3"/>
    <row r="46" spans="29:29" ht="15.75" customHeight="1" x14ac:dyDescent="0.3"/>
    <row r="47" spans="29:29" ht="15.75" customHeight="1" x14ac:dyDescent="0.3">
      <c r="AC47" s="65"/>
    </row>
    <row r="48" spans="29:29"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password="DEFC" sheet="1" objects="1" scenarios="1"/>
  <mergeCells count="2">
    <mergeCell ref="Y2:Y3"/>
    <mergeCell ref="Z2:Z3"/>
  </mergeCell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Seguridad Humana</vt:lpstr>
      <vt:lpstr>Vida Digna</vt:lpstr>
      <vt:lpstr>Desarrollo Economico</vt:lpstr>
      <vt:lpstr>Ciudad Conectada</vt:lpstr>
      <vt:lpstr>Innovación Pública</vt:lpstr>
      <vt:lpstr>Capitulo Etnico</vt:lpstr>
      <vt:lpstr>PLAN DE DESARROLLO 2024 - 2027</vt:lpstr>
      <vt:lpstr>SEGUIMIENTO DEL PLAN DE DESARRO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 Gomez Rocha</dc:creator>
  <cp:lastModifiedBy>Yamil Gomez Rocha</cp:lastModifiedBy>
  <dcterms:created xsi:type="dcterms:W3CDTF">2024-09-07T07:59:19Z</dcterms:created>
  <dcterms:modified xsi:type="dcterms:W3CDTF">2025-10-17T23:36:28Z</dcterms:modified>
</cp:coreProperties>
</file>